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16" windowHeight="885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<sst xmlns="http://schemas.openxmlformats.org/spreadsheetml/2006/main" count="3834" uniqueCount="3026">
  <si>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</si>
  <si>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</si>
  <si>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</si>
  <si>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</si>
  <si>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</si>
  <si>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</si>
  <si>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</si>
  <si>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</si>
  <si>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</si>
  <si>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</si>
  <si>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</si>
  <si>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</si>
  <si>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</si>
  <si>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</si>
  <si>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</si>
  <si>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</si>
  <si>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</si>
  <si>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</si>
  <si>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</si>
  <si>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</si>
  <si>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</si>
  <si>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</si>
  <si>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</si>
  <si>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</si>
  <si>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</si>
  <si>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</si>
  <si>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</si>
  <si>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</si>
  <si>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</si>
  <si>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</si>
  <si>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</si>
  <si>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</si>
  <si>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</si>
  <si>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</si>
  <si>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</si>
  <si>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</si>
  <si>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</si>
  <si>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</si>
  <si>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</si>
  <si>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</si>
  <si>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</si>
  <si>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</si>
  <si>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</si>
  <si>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</si>
  <si>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</si>
  <si>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</si>
  <si>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</si>
  <si>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</si>
  <si>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</si>
  <si>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</si>
  <si>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</si>
  <si>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</si>
  <si>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</si>
  <si>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</si>
  <si>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</si>
  <si>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</si>
  <si>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</si>
  <si>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</si>
  <si>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</si>
  <si>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</si>
  <si>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</si>
  <si>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</si>
  <si>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</si>
  <si>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</si>
  <si>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</si>
  <si>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</si>
  <si>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</si>
  <si>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</si>
  <si>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</si>
  <si>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</si>
  <si>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</si>
  <si>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</si>
  <si>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</si>
  <si>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</si>
  <si>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</si>
  <si>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</si>
  <si>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</si>
  <si>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</si>
  <si>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</si>
  <si>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</si>
  <si>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</si>
  <si>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</si>
  <si>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</si>
  <si>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</si>
  <si>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</si>
  <si>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</si>
  <si>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</si>
  <si>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</si>
  <si>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</si>
  <si>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</si>
  <si>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</si>
  <si>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</si>
  <si>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</si>
  <si>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</si>
  <si>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</si>
  <si>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</si>
  <si>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</si>
  <si>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</si>
  <si>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</si>
  <si>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</si>
  <si>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</si>
  <si>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</si>
  <si>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</si>
  <si>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</si>
  <si>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</si>
  <si>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</si>
  <si>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</si>
  <si>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</si>
  <si>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</si>
  <si>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</si>
  <si>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</si>
  <si>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</si>
  <si>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</si>
  <si>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</si>
  <si>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</si>
  <si>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</si>
  <si>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</si>
  <si>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</si>
  <si>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</si>
  <si>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</si>
  <si>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</si>
  <si>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</si>
  <si>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</si>
  <si>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</si>
  <si>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</si>
  <si>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</si>
  <si>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</si>
  <si>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</si>
  <si>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</si>
  <si>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</si>
  <si>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</si>
  <si>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</si>
  <si>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</si>
  <si>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</si>
  <si>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</si>
  <si>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</si>
  <si>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</si>
  <si>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</si>
  <si>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</si>
  <si>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</si>
  <si>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</si>
  <si>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</si>
  <si>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</si>
  <si>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</si>
  <si>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</si>
  <si>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</si>
  <si>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</si>
  <si>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</si>
  <si>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</si>
  <si>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</si>
  <si>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</si>
  <si>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</si>
  <si>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</si>
  <si>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</si>
  <si>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</si>
  <si>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</si>
  <si>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</si>
  <si>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</si>
  <si>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</si>
  <si>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</si>
  <si>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</si>
  <si>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</si>
  <si>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</si>
  <si>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</si>
  <si>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</si>
  <si>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</si>
  <si>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</si>
  <si>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</si>
  <si>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</si>
  <si>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</si>
  <si>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</si>
  <si>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</si>
  <si>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</si>
  <si>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</si>
  <si>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</si>
  <si>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</si>
  <si>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</si>
  <si>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</si>
  <si>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</si>
  <si>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</si>
  <si>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</si>
  <si>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</si>
  <si>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</si>
  <si>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</si>
  <si>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</si>
  <si>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</si>
  <si>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</si>
  <si>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</si>
  <si>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</si>
  <si>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</si>
  <si>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</si>
  <si>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</si>
  <si>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</si>
  <si>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</si>
  <si>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</si>
  <si>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</si>
  <si>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</si>
  <si>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</si>
  <si>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</si>
  <si>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</si>
  <si>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</si>
  <si>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</si>
  <si>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</si>
  <si>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</si>
  <si>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</si>
  <si>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</si>
  <si>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</si>
  <si>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</si>
  <si>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</si>
  <si>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</si>
  <si>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</si>
  <si>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</si>
  <si>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</si>
  <si>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</si>
  <si>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</si>
  <si>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</si>
  <si>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</si>
  <si>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</si>
  <si>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</si>
  <si>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</si>
  <si>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</si>
  <si>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</si>
  <si>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</si>
  <si>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</si>
  <si>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</si>
  <si>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</si>
  <si>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</si>
  <si>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</si>
  <si>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</si>
  <si>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</si>
  <si>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</si>
  <si>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</si>
  <si>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</si>
  <si>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</si>
  <si>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</si>
  <si>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</si>
  <si>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</si>
  <si>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</si>
  <si>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</si>
  <si>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</si>
  <si>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</si>
  <si>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</si>
  <si>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</si>
  <si>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</si>
  <si>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</si>
  <si>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</si>
  <si>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</si>
  <si>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</si>
  <si>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</si>
  <si>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</si>
  <si>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</si>
  <si>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</si>
  <si>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</si>
  <si>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</si>
  <si>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</si>
  <si>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</si>
  <si>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</si>
  <si>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</si>
  <si>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</si>
  <si>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</si>
  <si>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</si>
  <si>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</si>
  <si>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</si>
  <si>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</si>
  <si>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</si>
  <si>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</si>
  <si>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</si>
  <si>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</si>
  <si>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</si>
  <si>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</si>
  <si>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</si>
  <si>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</si>
  <si>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</si>
  <si>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</si>
  <si>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</si>
  <si>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</si>
  <si>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</si>
  <si>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</si>
  <si>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</si>
  <si>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</si>
  <si>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</si>
  <si>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</si>
  <si>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</si>
  <si>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</si>
  <si>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</si>
  <si>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</si>
  <si>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</si>
  <si>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</si>
  <si>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</si>
  <si>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</si>
  <si>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</si>
  <si>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</si>
  <si>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</si>
  <si>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</si>
  <si>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</si>
  <si>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</si>
  <si>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</si>
  <si>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</si>
  <si>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</si>
  <si>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</si>
  <si>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</si>
  <si>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</si>
  <si>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</si>
  <si>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</si>
  <si>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</si>
  <si>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</si>
  <si>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</si>
  <si>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</si>
  <si>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</si>
  <si>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</si>
  <si>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</si>
  <si>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</si>
  <si>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</si>
  <si>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</si>
  <si>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</si>
  <si>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</si>
  <si>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</si>
  <si>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</si>
  <si>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</si>
  <si>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</si>
  <si>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</si>
  <si>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</si>
  <si>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</si>
  <si>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</si>
  <si>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</si>
  <si>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</si>
  <si>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</si>
  <si>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</si>
  <si>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</si>
  <si>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</si>
  <si>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</si>
  <si>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</si>
  <si>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</si>
  <si>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</si>
  <si>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</si>
  <si>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</si>
  <si>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</si>
  <si>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</si>
  <si>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</si>
  <si>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</si>
  <si>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</si>
  <si>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</si>
  <si>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</si>
  <si>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</si>
  <si>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</si>
  <si>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</si>
  <si>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</si>
  <si>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</si>
  <si>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</si>
  <si>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</si>
  <si>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</si>
  <si>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</si>
  <si>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</si>
  <si>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</si>
  <si>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</si>
  <si>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</si>
  <si>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</si>
  <si>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</si>
  <si>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</si>
  <si>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</si>
  <si>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</si>
  <si>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</si>
  <si>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</si>
  <si>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</si>
  <si>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</si>
  <si>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</si>
  <si>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</si>
  <si>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</si>
  <si>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</si>
  <si>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</si>
  <si>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</si>
  <si>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</si>
  <si>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</si>
  <si>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</si>
  <si>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</si>
  <si>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</si>
  <si>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</si>
  <si>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</si>
  <si>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</si>
  <si>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</si>
  <si>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</si>
  <si>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</si>
  <si>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</si>
  <si>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</si>
  <si>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</si>
  <si>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</si>
  <si>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</si>
  <si>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</si>
  <si>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</si>
  <si>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</si>
  <si>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</si>
  <si>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</si>
  <si>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</si>
  <si>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</si>
  <si>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</si>
  <si>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</si>
  <si>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</si>
  <si>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</si>
  <si>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</si>
  <si>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</si>
  <si>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</si>
  <si>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</si>
  <si>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</si>
  <si>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</si>
  <si>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</si>
  <si>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</si>
  <si>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</si>
  <si>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</si>
  <si>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</si>
  <si>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</si>
  <si>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</si>
  <si>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</si>
  <si>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</si>
  <si>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</si>
  <si>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</si>
  <si>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</si>
  <si>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</si>
  <si>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</si>
  <si>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</si>
  <si>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</si>
  <si>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</si>
  <si>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</si>
  <si>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</si>
  <si>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</si>
  <si>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</si>
  <si>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</si>
  <si>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</si>
  <si>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</si>
  <si>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</si>
  <si>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</si>
  <si>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</si>
  <si>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</si>
  <si>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</si>
  <si>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</si>
  <si>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</si>
  <si>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</si>
  <si>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</si>
  <si>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</si>
  <si>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</si>
  <si>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</si>
  <si>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</si>
  <si>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</si>
  <si>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</si>
  <si>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</si>
  <si>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</si>
  <si>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</si>
  <si>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</si>
  <si>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</si>
  <si>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</si>
  <si>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</si>
  <si>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</si>
  <si>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</si>
  <si>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</si>
  <si>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</si>
  <si>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</si>
  <si>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</si>
  <si>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</si>
  <si>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</si>
  <si>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</si>
  <si>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</si>
  <si>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</si>
  <si>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</si>
  <si>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</si>
  <si>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</si>
  <si>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</si>
  <si>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</si>
  <si>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</si>
  <si>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</si>
  <si>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</si>
  <si>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</si>
  <si>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</si>
  <si>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</si>
  <si>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</si>
  <si>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</si>
  <si>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</si>
  <si>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</si>
  <si>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</si>
  <si>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</si>
  <si>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</si>
  <si>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</si>
  <si>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</si>
  <si>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</si>
  <si>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</si>
  <si>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</si>
  <si>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</si>
  <si>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</si>
  <si>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</si>
  <si>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</si>
  <si>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</si>
  <si>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</si>
  <si>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</si>
  <si>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</si>
  <si>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</si>
  <si>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</si>
  <si>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</si>
  <si>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</si>
  <si>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</si>
  <si>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</si>
  <si>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</si>
  <si>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</si>
  <si>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</si>
  <si>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</si>
  <si>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</si>
  <si>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</si>
  <si>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</si>
  <si>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</si>
  <si>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</si>
  <si>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</si>
  <si>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</si>
  <si>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</si>
  <si>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</si>
  <si>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</si>
  <si>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</si>
  <si>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</si>
  <si>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</si>
  <si>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</si>
  <si>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</si>
  <si>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</si>
  <si>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</si>
  <si>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</si>
  <si>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</si>
  <si>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</si>
  <si>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</si>
  <si>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</si>
  <si>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</si>
  <si>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</si>
  <si>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</si>
  <si>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</si>
  <si>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</si>
  <si>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</si>
  <si>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</si>
  <si>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</si>
  <si>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</si>
  <si>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</si>
  <si>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</si>
  <si>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</si>
  <si>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</si>
  <si>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</si>
  <si>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</si>
  <si>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</si>
  <si>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</si>
  <si>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</si>
  <si>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</si>
  <si>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</si>
  <si>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</si>
  <si>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</si>
  <si>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</si>
  <si>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</si>
  <si>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</si>
  <si>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</si>
  <si>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</si>
  <si>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</si>
  <si>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</si>
  <si>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</si>
  <si>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</si>
  <si>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</si>
  <si>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</si>
  <si>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</si>
  <si>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</si>
  <si>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</si>
  <si>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</si>
  <si>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</si>
  <si>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</si>
  <si>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</si>
  <si>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</si>
  <si>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</si>
  <si>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</si>
  <si>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</si>
  <si>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</si>
  <si>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</si>
  <si>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</si>
  <si>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</si>
  <si>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</si>
  <si>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</si>
  <si>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</si>
  <si>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</si>
  <si>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</si>
  <si>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</si>
  <si>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</si>
  <si>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</si>
  <si>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</si>
  <si>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</si>
  <si>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</si>
  <si>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</si>
  <si>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</si>
  <si>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</si>
  <si>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</si>
  <si>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</si>
  <si>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</si>
  <si>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</si>
  <si>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</si>
  <si>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</si>
  <si>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</si>
  <si>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</si>
  <si>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</si>
  <si>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</si>
  <si>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</si>
  <si>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</si>
  <si>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</si>
  <si>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</si>
  <si>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</si>
  <si>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</si>
  <si>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</si>
  <si>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</si>
  <si>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</si>
  <si>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</si>
  <si>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</si>
  <si>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</si>
  <si>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</si>
  <si>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</si>
  <si>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</si>
  <si>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</si>
  <si>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</si>
  <si>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</si>
  <si>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</si>
  <si>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</si>
  <si>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</si>
  <si>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</si>
  <si>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</si>
  <si>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</si>
  <si>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</si>
  <si>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</si>
  <si>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</si>
  <si>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</si>
  <si>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</si>
  <si>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</si>
  <si>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</si>
  <si>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</si>
  <si>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</si>
  <si>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</si>
  <si>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</si>
  <si>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</si>
  <si>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</si>
  <si>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</si>
  <si>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</si>
  <si>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</si>
  <si>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</si>
  <si>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</si>
  <si>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</si>
  <si>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</si>
  <si>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</si>
  <si>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</si>
  <si>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</si>
  <si>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</si>
  <si>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</si>
  <si>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</si>
  <si>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</si>
  <si>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</si>
  <si>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</si>
  <si>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</si>
  <si>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</si>
  <si>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</si>
  <si>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</si>
  <si>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</si>
  <si>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</si>
  <si>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</si>
  <si>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</si>
  <si>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</si>
  <si>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</si>
  <si>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</si>
  <si>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</si>
  <si>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</si>
  <si>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</si>
  <si>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</si>
  <si>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</si>
  <si>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</si>
  <si>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</si>
  <si>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</si>
  <si>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</si>
  <si>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</si>
  <si>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</si>
  <si>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</si>
  <si>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</si>
  <si>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</si>
  <si>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</si>
  <si>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</si>
  <si>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</si>
  <si>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</si>
  <si>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</si>
  <si>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</si>
  <si>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</si>
  <si>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</si>
  <si>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</si>
  <si>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</si>
  <si>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</si>
  <si>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</si>
  <si>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</si>
  <si>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</si>
  <si>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</si>
  <si>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</si>
  <si>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</si>
  <si>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</si>
  <si>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</si>
  <si>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</si>
  <si>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</si>
  <si>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</si>
  <si>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</si>
  <si>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</si>
  <si>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</si>
  <si>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</si>
  <si>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</si>
  <si>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</si>
  <si>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</si>
  <si>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</si>
  <si>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</si>
  <si>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</si>
  <si>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</si>
  <si>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</si>
  <si>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</si>
  <si>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</si>
  <si>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</si>
  <si>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</si>
  <si>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</si>
  <si>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</si>
  <si>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</si>
  <si>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</si>
  <si>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</si>
  <si>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</si>
  <si>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</si>
  <si>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</si>
  <si>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</si>
  <si>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</si>
  <si>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</si>
  <si>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</si>
  <si>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</si>
  <si>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</si>
  <si>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</si>
  <si>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</si>
  <si>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</si>
  <si>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</si>
  <si>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</si>
  <si>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</si>
  <si>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</si>
  <si>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</si>
  <si>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</si>
  <si>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</si>
  <si>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</si>
  <si>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</si>
  <si>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</si>
  <si>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</si>
  <si>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</si>
  <si>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</si>
  <si>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</si>
  <si>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</si>
  <si>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</si>
  <si>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</si>
  <si>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</si>
  <si>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</si>
  <si>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</si>
  <si>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</si>
  <si>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</si>
  <si>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</si>
  <si>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</si>
  <si>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</si>
  <si>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</si>
  <si>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</si>
  <si>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</si>
  <si>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</si>
  <si>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</si>
  <si>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</si>
  <si>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</si>
  <si>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</si>
  <si>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</si>
  <si>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</si>
  <si>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</si>
  <si>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</si>
  <si>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</si>
  <si>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</si>
  <si>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</si>
  <si>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</si>
  <si>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</si>
  <si>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</si>
  <si>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</si>
  <si>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</si>
  <si>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</si>
  <si>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</si>
  <si>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</si>
  <si>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</si>
  <si>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</si>
  <si>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</si>
  <si>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</si>
  <si>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</si>
  <si>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</si>
  <si>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</si>
  <si>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</si>
  <si>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</si>
  <si>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</si>
  <si>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</si>
  <si>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</si>
  <si>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</si>
  <si>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</si>
  <si>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</si>
  <si>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</si>
  <si>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</si>
  <si>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</si>
  <si>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</si>
  <si>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</si>
  <si>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</si>
  <si>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</si>
  <si>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</si>
  <si>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</si>
  <si>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</si>
  <si>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</si>
  <si>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</si>
  <si>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</si>
  <si>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</si>
  <si>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</si>
  <si>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</si>
  <si>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</si>
  <si>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</si>
  <si>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</si>
  <si>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</si>
  <si>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</si>
  <si>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</si>
  <si>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</si>
  <si>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</si>
  <si>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</si>
  <si>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</si>
  <si>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</si>
  <si>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</si>
  <si>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</si>
  <si>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</si>
  <si>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</si>
  <si>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</si>
  <si>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</si>
  <si>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</si>
  <si>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</si>
  <si>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</si>
  <si>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</si>
  <si>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</si>
  <si>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</si>
  <si>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</si>
  <si>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</si>
  <si>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</si>
  <si>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</si>
  <si>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</si>
  <si>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</si>
  <si>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</si>
  <si>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</si>
  <si>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</si>
  <si>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</si>
  <si>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</si>
  <si>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</si>
  <si>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</si>
  <si>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</si>
  <si>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</si>
  <si>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</si>
  <si>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</si>
  <si>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</si>
  <si>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</si>
  <si>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</si>
  <si>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</si>
  <si>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</si>
  <si>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</si>
  <si>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</si>
  <si>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</si>
  <si>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</si>
  <si>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</si>
  <si>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</si>
  <si>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</si>
  <si>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</si>
  <si>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</si>
  <si>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</si>
  <si>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</si>
  <si>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</si>
  <si>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</si>
  <si>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</si>
  <si>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</si>
  <si>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</si>
  <si>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</si>
  <si>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</si>
  <si>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</si>
  <si>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</si>
  <si>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</si>
  <si>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</si>
  <si>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</si>
  <si>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</si>
  <si>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</si>
  <si>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</si>
  <si>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</si>
  <si>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</si>
  <si>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</si>
  <si>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</si>
  <si>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</si>
  <si>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</si>
  <si>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</si>
  <si>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</si>
  <si>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</si>
  <si>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</si>
  <si>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</si>
  <si>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</si>
  <si>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</si>
  <si>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</si>
  <si>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</si>
  <si>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</si>
  <si>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</si>
  <si>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</si>
  <si>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</si>
  <si>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</si>
  <si>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</si>
  <si>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</si>
  <si>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</si>
  <si>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</si>
  <si>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</si>
  <si>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</si>
  <si>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</si>
  <si>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</si>
  <si>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</si>
  <si>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</si>
  <si>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</si>
  <si>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</si>
  <si>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</si>
  <si>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</si>
  <si>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</si>
  <si>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</si>
  <si>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</si>
  <si>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</si>
  <si>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</si>
  <si>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</si>
  <si>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</si>
  <si>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</si>
  <si>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</si>
  <si>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</si>
  <si>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</si>
  <si>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</si>
  <si>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</si>
  <si>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</si>
  <si>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</si>
  <si>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</si>
  <si>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</si>
  <si>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</si>
  <si>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</si>
  <si>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</si>
  <si>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</si>
  <si>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</si>
  <si>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</si>
  <si>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</si>
  <si>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</si>
  <si>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</si>
  <si>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</si>
  <si>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</si>
  <si>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</si>
  <si>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</si>
  <si>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</si>
  <si>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</si>
  <si>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</si>
  <si>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</si>
  <si>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</si>
  <si>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</si>
  <si>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</si>
  <si>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</si>
  <si>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</si>
  <si>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</si>
  <si>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</si>
  <si>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</si>
  <si>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</si>
  <si>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</si>
  <si>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</si>
  <si>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</si>
  <si>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</si>
  <si>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</si>
  <si>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</si>
  <si>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</si>
  <si>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</si>
  <si>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</si>
  <si>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</si>
  <si>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</si>
  <si>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</si>
  <si>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</si>
  <si>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</si>
  <si>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</si>
  <si>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</si>
  <si>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</si>
  <si>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</si>
  <si>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</si>
  <si>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</si>
  <si>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</si>
  <si>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</si>
  <si>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</si>
  <si>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</si>
  <si>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</si>
  <si>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</si>
  <si>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</si>
  <si>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</si>
  <si>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</si>
  <si>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</si>
  <si>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</si>
  <si>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</si>
  <si>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</si>
  <si>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</si>
  <si>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</si>
  <si>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</si>
  <si>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</si>
  <si>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</si>
  <si>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</si>
  <si>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</si>
  <si>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</si>
  <si>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</si>
  <si>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</si>
  <si>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</si>
  <si>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</si>
  <si>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</si>
  <si>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</si>
  <si>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</si>
  <si>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</si>
  <si>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</si>
  <si>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</si>
  <si>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</si>
  <si>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</si>
  <si>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</si>
  <si>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</si>
  <si>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</si>
  <si>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</si>
  <si>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</si>
  <si>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</si>
  <si>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</si>
  <si>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</si>
  <si>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</si>
  <si>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</si>
  <si>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</si>
  <si>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</si>
  <si>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</si>
  <si>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</si>
  <si>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</si>
  <si>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</si>
  <si>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</si>
  <si>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</si>
  <si>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</si>
  <si>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</si>
  <si>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</si>
  <si>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</si>
  <si>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</si>
  <si>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</si>
  <si>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</si>
  <si>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</si>
  <si>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</si>
  <si>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</si>
  <si>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</si>
  <si>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</si>
  <si>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</si>
  <si>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</si>
  <si>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</si>
  <si>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</si>
  <si>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</si>
  <si>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</si>
  <si>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</si>
  <si>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</si>
  <si>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</si>
  <si>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</si>
  <si>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</si>
  <si>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</si>
  <si>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</si>
  <si>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</si>
  <si>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</si>
  <si>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</si>
  <si>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</si>
  <si>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</si>
  <si>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</si>
  <si>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</si>
  <si>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</si>
  <si>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</si>
  <si>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</si>
  <si>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</si>
  <si>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</si>
  <si>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</si>
  <si>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</si>
  <si>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</si>
  <si>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</si>
  <si>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</si>
  <si>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</si>
  <si>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</si>
  <si>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</si>
  <si>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</si>
  <si>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</si>
  <si>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</si>
  <si>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</si>
  <si>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</si>
  <si>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</si>
  <si>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</si>
  <si>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</si>
  <si>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</si>
  <si>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</si>
  <si>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</si>
  <si>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</si>
  <si>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</si>
  <si>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</si>
  <si>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</si>
  <si>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</si>
  <si>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</si>
  <si>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</si>
  <si>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</si>
  <si>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</si>
  <si>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</si>
  <si>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</si>
  <si>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</si>
  <si>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</si>
  <si>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</si>
  <si>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</si>
  <si>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</si>
  <si>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</si>
  <si>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</si>
  <si>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</si>
  <si>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</si>
  <si>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</si>
  <si>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</si>
  <si>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</si>
  <si>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</si>
  <si>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</si>
  <si>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</si>
  <si>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</si>
  <si>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</si>
  <si>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</si>
  <si>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</si>
  <si>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</si>
  <si>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</si>
  <si>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</si>
  <si>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</si>
  <si>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</si>
  <si>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</si>
  <si>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</si>
  <si>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</si>
  <si>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</si>
  <si>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</si>
  <si>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</si>
  <si>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</si>
  <si>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</si>
  <si>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</si>
  <si>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</si>
  <si>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</si>
  <si>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</si>
  <si>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</si>
  <si>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</si>
  <si>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</si>
  <si>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</si>
  <si>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</si>
  <si>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</si>
  <si>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</si>
  <si>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</si>
  <si>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</si>
  <si>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</si>
  <si>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</si>
  <si>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</si>
  <si>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</si>
  <si>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</si>
  <si>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</si>
  <si>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</si>
  <si>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</si>
  <si>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</si>
  <si>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</si>
  <si>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</si>
  <si>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</si>
  <si>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</si>
  <si>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</si>
  <si>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</si>
  <si>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</si>
  <si>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</si>
  <si>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</si>
  <si>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</si>
  <si>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</si>
  <si>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</si>
  <si>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</si>
  <si>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</si>
  <si>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</si>
  <si>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</si>
  <si>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</si>
  <si>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</si>
  <si>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</si>
  <si>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</si>
  <si>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</si>
  <si>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</si>
  <si>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</si>
  <si>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</si>
  <si>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</si>
  <si>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</si>
  <si>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</si>
  <si>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</si>
  <si>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</si>
  <si>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</si>
  <si>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</si>
  <si>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</si>
  <si>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</si>
  <si>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</si>
  <si>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</si>
  <si>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</si>
  <si>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</si>
  <si>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</si>
  <si>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</si>
  <si>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</si>
  <si>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</si>
  <si>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</si>
  <si>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</si>
  <si>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</si>
  <si>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</si>
  <si>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</si>
  <si>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</si>
  <si>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</si>
  <si>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</si>
  <si>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</si>
  <si>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</si>
  <si>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</si>
  <si>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</si>
  <si>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</si>
  <si>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</si>
  <si>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</si>
  <si>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</si>
  <si>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</si>
  <si>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</si>
  <si>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</si>
  <si>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</si>
  <si>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</si>
  <si>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</si>
  <si>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</si>
  <si>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</si>
  <si>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</si>
  <si>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</si>
  <si>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</si>
  <si>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</si>
  <si>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</si>
  <si>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</si>
  <si>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</si>
  <si>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</si>
  <si>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</si>
  <si>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</si>
  <si>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</si>
  <si>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</si>
  <si>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</si>
  <si>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</si>
  <si>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</si>
  <si>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</si>
  <si>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</si>
  <si>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</si>
  <si>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</si>
  <si>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</si>
  <si>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</si>
  <si>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</si>
  <si>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</si>
  <si>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</si>
  <si>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</si>
  <si>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</si>
  <si>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</si>
  <si>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</si>
  <si>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</si>
  <si>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</si>
  <si>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</si>
  <si>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</si>
  <si>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</si>
  <si>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</si>
  <si>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</si>
  <si>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</si>
  <si>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</si>
  <si>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</si>
  <si>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</si>
  <si>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</si>
  <si>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</si>
  <si>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</si>
  <si>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</si>
  <si>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</si>
  <si>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</si>
  <si>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</si>
  <si>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</si>
  <si>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</si>
  <si>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</si>
  <si>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</si>
  <si>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</si>
  <si>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</si>
  <si>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</si>
  <si>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</si>
  <si>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</si>
  <si>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</si>
  <si>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</si>
  <si>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</si>
  <si>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</si>
  <si>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</si>
  <si>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</si>
  <si>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</si>
  <si>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</si>
  <si>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</si>
  <si>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</si>
  <si>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</si>
  <si>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</si>
  <si>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</si>
  <si>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</si>
  <si>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</si>
  <si>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</si>
  <si>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</si>
  <si>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</si>
  <si>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</si>
  <si>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</si>
  <si>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</si>
  <si>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</si>
  <si>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</si>
  <si>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</si>
  <si>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</si>
  <si>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</si>
  <si>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</si>
  <si>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</si>
  <si>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</si>
  <si>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</si>
  <si>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</si>
  <si>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</si>
  <si>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</si>
  <si>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</si>
  <si>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</si>
  <si>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</si>
  <si>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</si>
  <si>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</si>
  <si>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</si>
  <si>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</si>
  <si>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</si>
  <si>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</si>
  <si>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</si>
  <si>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</si>
  <si>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</si>
  <si>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</si>
  <si>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</si>
  <si>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</si>
  <si>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</si>
  <si>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</si>
  <si>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</si>
  <si>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</si>
  <si>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</si>
  <si>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</si>
  <si>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</si>
  <si>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</si>
  <si>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</si>
  <si>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</si>
  <si>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</si>
  <si>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</si>
  <si>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</si>
  <si>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</si>
  <si>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</si>
  <si>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</si>
  <si>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</si>
  <si>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</si>
  <si>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</si>
  <si>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</si>
  <si>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</si>
  <si>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</si>
  <si>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</si>
  <si>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</si>
  <si>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</si>
  <si>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</si>
  <si>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</si>
  <si>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</si>
  <si>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</si>
  <si>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</si>
  <si>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</si>
  <si>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</si>
  <si>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</si>
  <si>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</si>
  <si>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</si>
  <si>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</si>
  <si>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</si>
  <si>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</si>
  <si>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</si>
  <si>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</si>
  <si>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</si>
  <si>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</si>
  <si>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</si>
  <si>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</si>
  <si>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</si>
  <si>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</si>
  <si>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</si>
  <si>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</si>
  <si>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</si>
  <si>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</si>
  <si>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</si>
  <si>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</si>
  <si>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</si>
  <si>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</si>
  <si>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</si>
  <si>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</si>
  <si>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</si>
  <si>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</si>
  <si>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</si>
  <si>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</si>
  <si>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</si>
  <si>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</si>
  <si>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</si>
  <si>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</si>
  <si>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</si>
  <si>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</si>
  <si>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</si>
  <si>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</si>
  <si>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</si>
  <si>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</si>
  <si>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</si>
  <si>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</si>
  <si>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</si>
  <si>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</si>
  <si>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</si>
  <si>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</si>
  <si>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</si>
  <si>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</si>
  <si>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</si>
  <si>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</si>
  <si>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</si>
  <si>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</si>
  <si>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</si>
  <si>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</si>
  <si>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</si>
  <si>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</si>
  <si>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</si>
  <si>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</si>
  <si>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</si>
  <si>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</si>
  <si>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</si>
  <si>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</si>
  <si>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</si>
  <si>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</si>
  <si>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</si>
  <si>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</si>
  <si>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</si>
  <si>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</si>
  <si>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</si>
  <si>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</si>
  <si>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</si>
  <si>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</si>
  <si>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</si>
  <si>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</si>
  <si>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</si>
  <si>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</si>
  <si>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</si>
  <si>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</si>
  <si>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</si>
  <si>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</si>
  <si>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</si>
  <si>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</si>
  <si>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</si>
  <si>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</si>
  <si>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</si>
  <si>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</si>
  <si>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</si>
  <si>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</si>
  <si>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</si>
  <si>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</si>
  <si>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</si>
  <si>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</si>
  <si>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</si>
  <si>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</si>
  <si>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</si>
  <si>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</si>
  <si>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</si>
  <si>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</si>
  <si>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</si>
  <si>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</si>
  <si>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</si>
  <si>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</si>
  <si>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</si>
  <si>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</si>
  <si>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</si>
  <si>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</si>
  <si>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</si>
  <si>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</si>
  <si>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</si>
  <si>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</si>
  <si>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</si>
  <si>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</si>
  <si>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</si>
  <si>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</si>
  <si>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</si>
  <si>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</si>
  <si>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</si>
  <si>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</si>
  <si>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</si>
  <si>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</si>
  <si>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</si>
  <si>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</si>
  <si>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</si>
  <si>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</si>
  <si>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</si>
  <si>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</si>
  <si>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</si>
  <si>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</si>
  <si>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</si>
  <si>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</si>
  <si>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</si>
  <si>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</si>
  <si>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</si>
  <si>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</si>
  <si>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</si>
  <si>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</si>
  <si>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</si>
  <si>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</si>
  <si>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</si>
  <si>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</si>
  <si>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</si>
  <si>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</si>
  <si>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</si>
  <si>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</si>
  <si>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</si>
  <si>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</si>
  <si>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</si>
  <si>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</si>
  <si>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</si>
  <si>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</si>
  <si>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</si>
  <si>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</si>
  <si>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</si>
  <si>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</si>
  <si>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</si>
  <si>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</si>
  <si>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</si>
  <si>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</si>
  <si>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</si>
  <si>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</si>
  <si>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</si>
  <si>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</si>
  <si>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</si>
  <si>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</si>
  <si>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</si>
  <si>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</si>
  <si>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</si>
  <si>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</si>
  <si>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</si>
  <si>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</si>
  <si>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</si>
  <si>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</si>
  <si>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</si>
  <si>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</si>
  <si>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</si>
  <si>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</si>
  <si>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</si>
  <si>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</si>
  <si>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</si>
  <si>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</si>
  <si>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</si>
  <si>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</si>
  <si>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</si>
  <si>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</si>
  <si>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</si>
  <si>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</si>
  <si>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</si>
  <si>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</si>
  <si>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</si>
  <si>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</si>
  <si>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</si>
  <si>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</si>
  <si>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</si>
  <si>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</si>
  <si>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</si>
  <si>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</si>
  <si>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</si>
  <si>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</si>
  <si>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</si>
  <si>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</si>
  <si>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</si>
  <si>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</si>
  <si>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</si>
  <si>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</si>
  <si>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</si>
  <si>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</si>
  <si>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</si>
  <si>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</si>
  <si>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</si>
  <si>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</si>
  <si>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</si>
  <si>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</si>
  <si>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</si>
  <si>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</si>
  <si>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</si>
  <si>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</si>
  <si>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</si>
  <si>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</si>
  <si>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</si>
  <si>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</si>
  <si>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</si>
  <si>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</si>
  <si>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</si>
  <si>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</si>
  <si>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</si>
  <si>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</si>
  <si>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</si>
  <si>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</si>
  <si>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</si>
  <si>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</si>
  <si>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</si>
  <si>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</si>
  <si>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</si>
  <si>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</si>
  <si>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</si>
  <si>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</si>
  <si>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</si>
  <si>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</si>
  <si>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</si>
  <si>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</si>
  <si>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</si>
  <si>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</si>
  <si>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</si>
  <si>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</si>
  <si>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</si>
  <si>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</si>
  <si>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</si>
  <si>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</si>
  <si>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</si>
  <si>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</si>
  <si>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</si>
  <si>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</si>
  <si>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</si>
  <si>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</si>
  <si>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</si>
  <si>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</si>
  <si>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</si>
  <si>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</si>
  <si>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</si>
  <si>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</si>
  <si>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</si>
  <si>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</si>
  <si>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</si>
  <si>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</si>
  <si>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</si>
  <si>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</si>
  <si>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</si>
  <si>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</si>
  <si>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</si>
  <si>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</si>
  <si>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</si>
  <si>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</si>
  <si>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</si>
  <si>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</si>
  <si>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</si>
  <si>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</si>
  <si>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</si>
  <si>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</si>
  <si>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</si>
  <si>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</si>
  <si>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</si>
  <si>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</si>
  <si>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</si>
  <si>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</si>
  <si>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</si>
  <si>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</si>
  <si>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</si>
  <si>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</si>
  <si>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</si>
  <si>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</si>
  <si>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</si>
  <si>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</si>
  <si>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</si>
  <si>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</si>
  <si>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</si>
  <si>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</si>
  <si>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</si>
  <si>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</si>
  <si>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</si>
  <si>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</si>
  <si>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</si>
  <si>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</si>
  <si>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</si>
  <si>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</si>
  <si>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</si>
  <si>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</si>
  <si>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</si>
  <si>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</si>
  <si>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</si>
  <si>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</si>
  <si>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</si>
  <si>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</si>
  <si>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</si>
  <si>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</si>
  <si>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</si>
  <si>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</si>
  <si>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</si>
  <si>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</si>
  <si>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</si>
  <si>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</si>
  <si>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</si>
  <si>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</si>
  <si>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</si>
  <si>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</si>
  <si>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</si>
  <si>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</si>
  <si>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</si>
  <si>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</si>
  <si>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</si>
  <si>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</si>
  <si>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</si>
  <si>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</si>
  <si>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</si>
  <si>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</si>
  <si>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</si>
  <si>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</si>
  <si>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</si>
  <si>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</si>
  <si>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</si>
  <si>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</si>
  <si>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</si>
  <si>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</si>
  <si>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</si>
  <si>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</si>
  <si>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</si>
  <si>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</si>
  <si>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</si>
  <si>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</si>
  <si>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</si>
  <si>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</si>
  <si>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</si>
  <si>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</si>
  <si>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</si>
  <si>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</si>
  <si>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</si>
  <si>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</si>
  <si>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</si>
  <si>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</si>
  <si>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</si>
  <si>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</si>
  <si>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</si>
  <si>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</si>
  <si>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</si>
  <si>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</si>
  <si>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</si>
  <si>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</si>
  <si>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</si>
  <si>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</si>
  <si>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</si>
  <si>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</si>
  <si>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</si>
  <si>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</si>
  <si>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</si>
  <si>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</si>
  <si>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</si>
  <si>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</si>
  <si>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</si>
  <si>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</si>
  <si>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</si>
  <si>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</si>
  <si>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</si>
  <si>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</si>
  <si>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</si>
  <si>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</si>
  <si>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</si>
  <si>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</si>
  <si>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</si>
  <si>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</si>
  <si>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</si>
  <si>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</si>
  <si>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</si>
  <si>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</si>
  <si>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</si>
  <si>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</si>
  <si>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</si>
  <si>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</si>
  <si>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</si>
  <si>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</si>
  <si>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</si>
  <si>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</si>
  <si>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</si>
  <si>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</si>
  <si>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</si>
  <si>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</si>
  <si>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</si>
  <si>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</si>
  <si>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</si>
  <si>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</si>
  <si>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</si>
  <si>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</si>
  <si>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</si>
  <si>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</si>
  <si>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</si>
  <si>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</si>
  <si>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</si>
  <si>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</si>
  <si>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</si>
  <si>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</si>
  <si>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</si>
  <si>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</si>
  <si>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</si>
  <si>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</si>
  <si>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</si>
  <si>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</si>
  <si>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</si>
  <si>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</si>
  <si>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</si>
  <si>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</si>
  <si>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</si>
  <si>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</si>
  <si>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</si>
  <si>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</si>
  <si>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</si>
  <si>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</si>
  <si>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</si>
  <si>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</si>
  <si>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</si>
  <si>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</si>
  <si>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</si>
  <si>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</si>
  <si>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</si>
  <si>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</si>
  <si>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</si>
  <si>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</si>
  <si>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</si>
  <si>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</si>
  <si>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</si>
  <si>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</si>
  <si>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</si>
  <si>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</si>
  <si>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</si>
  <si>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</si>
  <si>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</si>
  <si>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</si>
  <si>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</si>
  <si>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</si>
  <si>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</si>
  <si>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</si>
  <si>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</si>
  <si>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</si>
  <si>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</si>
  <si>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</si>
  <si>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</si>
  <si>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</si>
  <si>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</si>
  <si>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</si>
  <si>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</si>
  <si>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</si>
  <si>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</si>
  <si>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</si>
  <si>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</si>
  <si>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</si>
  <si>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</si>
  <si>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</si>
  <si>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</si>
  <si>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</si>
  <si>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</si>
  <si>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</si>
  <si>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</si>
  <si>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</si>
  <si>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</si>
  <si>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</si>
  <si>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</si>
  <si>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</si>
  <si>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</si>
  <si>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</si>
  <si>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</si>
  <si>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</si>
  <si>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</si>
  <si>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</si>
  <si>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</si>
  <si>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</si>
  <si>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</si>
  <si>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</si>
  <si>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</si>
  <si>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</si>
  <si>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</si>
  <si>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</si>
  <si>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</si>
  <si>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</si>
  <si>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</si>
  <si>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</si>
  <si>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</si>
  <si>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</si>
  <si>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</si>
  <si>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</si>
  <si>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</si>
  <si>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</si>
  <si>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</si>
  <si>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</si>
  <si>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</si>
  <si>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</si>
  <si>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</si>
  <si>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</si>
  <si>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</si>
  <si>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</si>
  <si>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</si>
  <si>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</si>
  <si>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</si>
  <si>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</si>
  <si>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</si>
  <si>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</si>
  <si>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</si>
  <si>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</si>
  <si>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</si>
  <si>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</si>
  <si>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</si>
  <si>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</si>
  <si>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</si>
  <si>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</si>
  <si>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</si>
  <si>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</si>
  <si>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</si>
  <si>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</si>
  <si>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</si>
  <si>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</si>
  <si>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</si>
  <si>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</si>
  <si>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</si>
  <si>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</si>
  <si>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</si>
  <si>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</si>
  <si>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</si>
  <si>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</si>
  <si>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</si>
  <si>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</si>
  <si>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</si>
  <si>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</si>
  <si>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</si>
  <si>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</si>
  <si>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</si>
  <si>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</si>
  <si>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</si>
  <si>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</si>
  <si>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</si>
  <si>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</si>
  <si>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</si>
  <si>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</si>
  <si>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</si>
  <si>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</si>
  <si>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</si>
  <si>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</si>
  <si>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</si>
  <si>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</si>
  <si>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</si>
  <si>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</si>
  <si>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</si>
  <si>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</si>
  <si>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</si>
  <si>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</si>
  <si>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</si>
  <si>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</si>
  <si>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</si>
  <si>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</si>
  <si>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</si>
  <si>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</si>
  <si>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</si>
  <si>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</si>
  <si>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</si>
  <si>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</si>
  <si>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</si>
  <si>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</si>
  <si>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</si>
  <si>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</si>
  <si>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</si>
  <si>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</si>
  <si>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</si>
  <si>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</si>
  <si>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</si>
  <si>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</si>
  <si>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</si>
  <si>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</si>
  <si>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</si>
  <si>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</si>
  <si>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</si>
  <si>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</si>
  <si>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</si>
  <si>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</si>
  <si>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</si>
  <si>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</si>
  <si>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</si>
  <si>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</si>
  <si>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</si>
  <si>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</si>
  <si>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</si>
  <si>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</si>
  <si>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</si>
  <si>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</si>
  <si>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</si>
  <si>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</si>
  <si>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</si>
  <si>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</si>
  <si>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</si>
  <si>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</si>
  <si>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</si>
  <si>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</si>
  <si>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</si>
  <si>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</si>
  <si>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</si>
  <si>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</si>
  <si>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</si>
  <si>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</si>
  <si>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</si>
  <si>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</si>
  <si>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</si>
  <si>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</si>
  <si>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</si>
  <si>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</si>
  <si>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</si>
  <si>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</si>
  <si>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</si>
  <si>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</si>
  <si>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</si>
  <si>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</si>
  <si>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</si>
  <si>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</si>
  <si>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</si>
  <si>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</si>
  <si>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</si>
  <si>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</si>
  <si>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</si>
  <si>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</si>
  <si>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</si>
  <si>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</si>
  <si>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</si>
  <si>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</si>
  <si>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</si>
  <si>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</si>
  <si>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</si>
  <si>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</si>
  <si>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</si>
  <si>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</si>
  <si>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</si>
  <si>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</si>
  <si>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</si>
  <si>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</si>
  <si>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</si>
  <si>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</si>
  <si>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</si>
  <si>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</si>
  <si>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</si>
  <si>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</si>
  <si>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</si>
  <si>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</si>
  <si>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</si>
  <si>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</si>
  <si>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</si>
  <si>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</si>
  <si>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</si>
  <si>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</si>
  <si>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</si>
  <si>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</si>
  <si>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</si>
  <si>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</si>
  <si>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</si>
  <si>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</si>
  <si>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</si>
  <si>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</si>
  <si>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</si>
  <si>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</si>
  <si>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</si>
  <si>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</si>
  <si>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</si>
  <si>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</si>
  <si>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</si>
  <si>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</si>
  <si>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</si>
  <si>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</si>
  <si>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</si>
  <si>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</si>
  <si>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</si>
  <si>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</si>
  <si>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</si>
  <si>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</si>
  <si>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</si>
  <si>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</si>
  <si>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</si>
  <si>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</si>
  <si>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</si>
  <si>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</si>
  <si>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</si>
  <si>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</si>
  <si>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</si>
  <si>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</si>
  <si>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</si>
  <si>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</si>
  <si>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</si>
  <si>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</si>
  <si>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</si>
  <si>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</si>
  <si>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</si>
  <si>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</si>
  <si>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</si>
  <si>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</si>
  <si>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</si>
  <si>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</si>
  <si>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</si>
  <si>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</si>
  <si>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</si>
  <si>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</si>
  <si>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</si>
  <si>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</si>
  <si>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</si>
  <si>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</si>
  <si>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</si>
  <si>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</si>
  <si>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</si>
  <si>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</si>
  <si>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</si>
  <si>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</si>
  <si>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</si>
  <si>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</si>
  <si>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</si>
  <si>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</si>
  <si>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</si>
  <si>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</si>
  <si>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</si>
  <si>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</si>
  <si>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</si>
  <si>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</si>
  <si>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</si>
  <si>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</si>
  <si>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</si>
  <si>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</si>
  <si>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</si>
  <si>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</si>
  <si>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</si>
  <si>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</si>
  <si>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</si>
  <si>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</si>
  <si>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</si>
  <si>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</si>
  <si>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</si>
  <si>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</si>
  <si>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</si>
  <si>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</si>
  <si>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</si>
  <si>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</si>
  <si>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</si>
  <si>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</si>
  <si>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</si>
  <si>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</si>
  <si>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</si>
  <si>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</si>
  <si>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</si>
  <si>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</si>
  <si>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</si>
  <si>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</si>
  <si>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</si>
  <si>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</si>
  <si>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</si>
  <si>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</si>
  <si>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</si>
  <si>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</si>
  <si>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</si>
  <si>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</si>
  <si>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</si>
  <si>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</si>
  <si>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</si>
  <si>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</si>
  <si>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</si>
  <si>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</si>
  <si>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</si>
  <si>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</si>
  <si>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</si>
  <si>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</si>
  <si>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</si>
  <si>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</si>
  <si>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</si>
  <si>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</si>
  <si>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</si>
  <si>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</si>
  <si>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</si>
  <si>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</si>
  <si>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</si>
  <si>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</si>
  <si>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</si>
  <si>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</si>
  <si>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</si>
  <si>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</si>
  <si>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</si>
  <si>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</si>
  <si>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</si>
  <si>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</si>
  <si>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</si>
  <si>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</si>
  <si>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</si>
  <si>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</si>
  <si>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</si>
  <si>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</si>
  <si>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</si>
  <si>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</si>
  <si>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</si>
  <si>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</si>
  <si>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</si>
  <si>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</si>
  <si>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</si>
  <si>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</si>
  <si>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</si>
  <si>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</si>
  <si>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</si>
  <si>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</si>
  <si>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</si>
  <si>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</si>
  <si>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</si>
  <si>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</si>
  <si>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</si>
  <si>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</si>
  <si>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</si>
  <si>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</si>
  <si>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</si>
  <si>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</si>
  <si>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</si>
  <si>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</si>
  <si>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</si>
  <si>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</si>
  <si>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</si>
  <si>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</si>
  <si>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</si>
  <si>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</si>
  <si>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</si>
  <si>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</si>
  <si>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</si>
  <si>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</si>
  <si>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</si>
  <si>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</si>
  <si>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</si>
  <si>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</si>
  <si>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</si>
  <si>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</si>
  <si>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</si>
  <si>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</si>
  <si>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</si>
  <si>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</si>
  <si>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</si>
  <si>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</si>
  <si>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</si>
  <si>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</si>
  <si>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</si>
  <si>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</si>
  <si>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</si>
  <si>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</si>
  <si>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</si>
  <si>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</si>
  <si>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</si>
  <si>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</si>
  <si>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</si>
  <si>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</si>
  <si>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</si>
  <si>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</si>
  <si>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</si>
  <si>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</si>
  <si>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</si>
  <si>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</si>
  <si>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</si>
  <si>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</si>
  <si>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</si>
  <si>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</si>
  <si>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</si>
  <si>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</si>
  <si>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</si>
  <si>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</si>
  <si>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</si>
  <si>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</si>
  <si>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</si>
  <si>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</si>
  <si>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</si>
  <si>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</si>
  <si>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</si>
  <si>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</si>
  <si>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</si>
  <si>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</si>
  <si>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</si>
  <si>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</si>
  <si>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</si>
  <si>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</si>
  <si>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</si>
  <si>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</si>
  <si>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</si>
  <si>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</si>
  <si>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</si>
  <si>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</si>
  <si>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</si>
  <si>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</si>
  <si>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</si>
  <si>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</si>
  <si>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</si>
  <si>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</si>
  <si>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</si>
  <si>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</si>
  <si>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</si>
  <si>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</si>
  <si>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</si>
  <si>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</si>
  <si>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</si>
  <si>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</si>
  <si>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</si>
  <si>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</si>
  <si>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</si>
  <si>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</si>
  <si>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</si>
  <si>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</si>
  <si>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</si>
  <si>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</si>
  <si>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</si>
  <si>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</si>
  <si>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</si>
  <si>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</si>
  <si>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</si>
  <si>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</si>
  <si>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</si>
  <si>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</si>
  <si>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</si>
  <si>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</si>
  <si>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</si>
  <si>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</si>
  <si>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</si>
  <si>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</si>
  <si>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</si>
  <si>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</si>
  <si>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</si>
  <si>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</si>
  <si>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</si>
  <si>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</si>
  <si>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</si>
  <si>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</si>
  <si>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</si>
  <si>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</si>
  <si>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</si>
  <si>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</si>
  <si>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</si>
  <si>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</si>
  <si>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</si>
  <si>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</si>
  <si>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</si>
  <si>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</si>
  <si>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</si>
  <si>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</si>
  <si>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</si>
  <si>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</si>
  <si>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</si>
  <si>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</si>
  <si>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</si>
  <si>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</si>
  <si>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</si>
  <si>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</si>
  <si>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</si>
  <si>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</si>
  <si>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</si>
  <si>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</si>
  <si>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</si>
  <si>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</si>
  <si>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</si>
  <si>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</si>
  <si>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</si>
  <si>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</si>
  <si>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</si>
  <si>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</si>
  <si>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</si>
  <si>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</si>
  <si>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</si>
  <si>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</si>
  <si>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</si>
  <si>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</si>
  <si>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</si>
  <si>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</si>
  <si>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</si>
  <si>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</si>
  <si>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</si>
  <si>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</si>
  <si>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</si>
  <si>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</si>
  <si>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</si>
  <si>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</si>
  <si>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</si>
  <si>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</si>
  <si>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</si>
  <si>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</si>
  <si>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</si>
  <si>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</si>
  <si>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</si>
  <si>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</si>
  <si>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</si>
  <si>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</si>
  <si>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</si>
  <si>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</si>
  <si>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</si>
  <si>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</si>
  <si>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</si>
  <si>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</si>
  <si>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</si>
  <si>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</si>
  <si>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</si>
  <si>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</si>
  <si>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</si>
  <si>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</si>
  <si>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</si>
  <si>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</si>
  <si>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</si>
  <si>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</si>
  <si>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</si>
  <si>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</si>
  <si>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</si>
  <si>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</si>
  <si>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</si>
  <si>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</si>
  <si>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</si>
  <si>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</si>
  <si>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</si>
  <si>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</si>
  <si>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</si>
  <si>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</si>
  <si>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</si>
  <si>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</si>
  <si>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</si>
  <si>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</si>
  <si>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</si>
  <si>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</si>
  <si>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</si>
  <si>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</si>
  <si>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</si>
  <si>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</si>
  <si>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</si>
  <si>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</si>
  <si>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</si>
  <si>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</si>
  <si>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</si>
  <si>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</si>
  <si>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</si>
  <si>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</si>
  <si>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</si>
  <si>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</si>
  <si>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</si>
  <si>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</si>
  <si>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</si>
  <si>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</si>
  <si>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</si>
  <si>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</si>
  <si>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</si>
  <si>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</si>
  <si>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</si>
  <si>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</si>
  <si>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</si>
  <si>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</si>
  <si>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</si>
  <si>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</si>
  <si>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</si>
  <si>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</si>
  <si>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</si>
  <si>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</si>
  <si>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</si>
  <si>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</si>
  <si>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</si>
  <si>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</si>
  <si>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</si>
  <si>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</si>
  <si>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</si>
  <si>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</si>
  <si>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</si>
  <si>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</si>
  <si>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</si>
  <si>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</si>
  <si>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</si>
  <si>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</si>
  <si>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</si>
  <si>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</si>
  <si>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</si>
  <si>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</si>
  <si>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</si>
  <si>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</si>
  <si>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</si>
  <si>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</si>
  <si>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</si>
  <si>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</si>
  <si>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</si>
  <si>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</si>
  <si>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</si>
  <si>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</si>
  <si>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</si>
  <si>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</si>
  <si>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</si>
  <si>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</si>
  <si>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</si>
  <si>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</si>
  <si>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</si>
  <si>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</si>
  <si>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</si>
  <si>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</si>
  <si>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</si>
  <si>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</si>
  <si>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</si>
  <si>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</si>
  <si>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</si>
  <si>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</si>
  <si>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</si>
  <si>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</si>
  <si>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</si>
  <si>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</si>
  <si>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</si>
  <si>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</si>
  <si>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</si>
  <si>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</si>
  <si>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</si>
  <si>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</si>
  <si>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</si>
  <si>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</si>
  <si>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</si>
  <si>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</si>
  <si>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</si>
  <si>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</si>
  <si>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</si>
  <si>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</si>
  <si>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</si>
  <si>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</si>
  <si>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</si>
  <si>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</si>
  <si>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</si>
  <si>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</si>
  <si>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</si>
  <si>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</si>
  <si>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</si>
  <si>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</si>
  <si>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</si>
  <si>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</si>
  <si>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</si>
  <si>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</si>
  <si>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</si>
  <si>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</si>
  <si>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</si>
  <si>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</si>
  <si>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</si>
  <si>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</si>
  <si>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</si>
  <si>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</si>
  <si>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</si>
  <si>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</si>
  <si>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</si>
  <si>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</si>
  <si>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</si>
  <si>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</si>
  <si>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</si>
  <si>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</si>
  <si>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</si>
  <si>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</si>
  <si>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</si>
  <si>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</si>
  <si>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</si>
  <si>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</si>
  <si>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</si>
  <si>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</si>
  <si>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</si>
  <si>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</si>
  <si>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</si>
  <si>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</si>
  <si>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</si>
  <si>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</si>
  <si>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</si>
  <si>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</si>
  <si>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</si>
  <si>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</si>
  <si>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</si>
  <si>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</si>
  <si>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</si>
  <si>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</si>
  <si>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</si>
  <si>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</si>
  <si>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</si>
  <si>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</si>
  <si>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</si>
  <si>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</si>
  <si>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</si>
  <si>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</si>
  <si>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</si>
  <si>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</si>
  <si>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</si>
  <si>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</si>
  <si>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</si>
  <si>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</si>
  <si>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</si>
  <si>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</si>
  <si>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</si>
  <si>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</si>
  <si>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</si>
  <si>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</si>
  <si>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</si>
  <si>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</si>
  <si>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</si>
  <si>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</si>
  <si>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</si>
  <si>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</si>
  <si>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</si>
  <si>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</si>
  <si>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</si>
  <si>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</si>
  <si>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</si>
  <si>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</si>
  <si>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</si>
  <si>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</si>
  <si>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</si>
  <si>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</si>
  <si>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</si>
  <si>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</si>
  <si>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</si>
  <si>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</si>
  <si>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</si>
  <si>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</si>
  <si>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</si>
  <si>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</si>
  <si>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</si>
  <si>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</si>
  <si>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</si>
  <si>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</si>
  <si>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</si>
  <si>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</si>
  <si>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</si>
  <si>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</si>
  <si>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</si>
  <si>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</si>
  <si>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</si>
  <si>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</si>
  <si>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</si>
  <si>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</si>
  <si>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</si>
  <si>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</si>
  <si>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</si>
  <si>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</si>
  <si>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</si>
  <si>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</si>
  <si>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</si>
  <si>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</si>
  <si>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</si>
  <si>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</si>
  <si>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</si>
  <si>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</si>
  <si>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</si>
  <si>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</si>
  <si>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</si>
  <si>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</si>
  <si>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</si>
  <si>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</si>
  <si>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</si>
  <si>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</si>
  <si>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</si>
  <si>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</si>
  <si>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</si>
  <si>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</si>
  <si>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</si>
  <si>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</si>
  <si>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</si>
  <si>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</si>
  <si>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</si>
  <si>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</si>
  <si>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</si>
  <si>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</si>
  <si>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</si>
  <si>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</si>
  <si>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</si>
  <si>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</si>
  <si>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</si>
  <si>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</si>
  <si>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</si>
  <si>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</si>
  <si>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</si>
  <si>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</si>
  <si>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</si>
  <si>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</si>
  <si>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</si>
  <si>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</si>
  <si>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</si>
  <si>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</si>
  <si>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</si>
  <si>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</si>
  <si>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</si>
  <si>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</si>
  <si>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</si>
  <si>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</si>
  <si>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</si>
  <si>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</si>
  <si>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</si>
  <si>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</si>
  <si>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</si>
  <si>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</si>
  <si>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</si>
  <si>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</si>
  <si>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</si>
  <si>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</si>
  <si>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</si>
  <si>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</si>
  <si>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</si>
  <si>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</si>
  <si>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</si>
  <si>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</si>
  <si>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</si>
  <si>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</si>
  <si>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</si>
  <si>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</si>
  <si>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</si>
  <si>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</si>
  <si>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</si>
  <si>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</si>
  <si>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</si>
  <si>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</si>
  <si>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</si>
  <si>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</si>
  <si>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</si>
  <si>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</si>
  <si>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</si>
  <si>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</si>
  <si>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</si>
  <si>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</si>
  <si>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</si>
  <si>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</si>
  <si>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</si>
  <si>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</si>
  <si>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</si>
  <si>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</si>
  <si>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</si>
  <si>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</si>
  <si>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</si>
  <si>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</si>
  <si>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</si>
  <si>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</si>
  <si>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</si>
  <si>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</si>
  <si>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</si>
  <si>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</si>
  <si>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</si>
  <si>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</si>
  <si>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</si>
  <si>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</si>
  <si>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</si>
  <si>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</si>
  <si>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</si>
  <si>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</si>
  <si>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</si>
  <si>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</si>
  <si>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</si>
  <si>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</si>
  <si>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</si>
  <si>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</si>
  <si>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</si>
  <si>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</si>
  <si>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</si>
  <si>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</si>
  <si>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</si>
  <si>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</si>
  <si>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</si>
  <si>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</si>
  <si>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</si>
  <si>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</si>
  <si>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</si>
  <si>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</si>
  <si>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</si>
  <si>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</si>
  <si>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</si>
  <si>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</si>
  <si>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</si>
  <si>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</si>
  <si>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</si>
  <si>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</si>
  <si>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</si>
  <si>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</si>
  <si>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</si>
  <si>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</si>
  <si>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</si>
  <si>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</si>
  <si>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</si>
  <si>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</si>
  <si>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</si>
  <si>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</si>
  <si>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</si>
  <si>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</si>
  <si>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</si>
  <si>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</si>
  <si>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</si>
  <si>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</si>
  <si>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</si>
  <si>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</si>
  <si>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</si>
  <si>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</si>
  <si>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</si>
  <si>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</si>
  <si>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</si>
  <si>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</si>
  <si>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</si>
  <si>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</si>
  <si>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</si>
  <si>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</si>
  <si>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</si>
  <si>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</si>
  <si>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</si>
  <si>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</si>
  <si>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</si>
  <si>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</si>
  <si>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</si>
  <si>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</si>
  <si>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</si>
  <si>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</si>
  <si>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</si>
  <si>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</si>
  <si>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</si>
  <si>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</si>
  <si>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</si>
  <si>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</si>
  <si>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</si>
  <si>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</si>
  <si>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</si>
  <si>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</si>
  <si>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</si>
  <si>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</si>
  <si>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</si>
  <si>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</si>
  <si>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</si>
  <si>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</si>
  <si>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</si>
  <si>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</si>
  <si>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</si>
  <si>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</si>
  <si>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</si>
  <si>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</si>
  <si>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</si>
  <si>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</si>
  <si>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</si>
  <si>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</si>
  <si>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</si>
  <si>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</si>
  <si>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</si>
  <si>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</si>
  <si>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</si>
  <si>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</si>
  <si>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</si>
  <si>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</si>
  <si>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</si>
  <si>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</si>
  <si>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</si>
  <si>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</si>
  <si>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</si>
  <si>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</si>
  <si>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</si>
  <si>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</si>
  <si>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</si>
  <si>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</si>
  <si>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</si>
  <si>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</si>
  <si>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</si>
  <si>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</si>
  <si>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</si>
  <si>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</si>
  <si>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</si>
  <si>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</si>
  <si>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</si>
  <si>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</si>
  <si>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</si>
  <si>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</si>
  <si>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</si>
  <si>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</si>
  <si>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</si>
  <si>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</si>
  <si>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</si>
  <si>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</si>
  <si>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</si>
  <si>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</si>
  <si>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</si>
  <si>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</si>
  <si>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</si>
  <si>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</si>
  <si>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</si>
  <si>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</si>
  <si>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</si>
  <si>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</si>
  <si>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</si>
  <si>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</si>
  <si>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</si>
  <si>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</si>
  <si>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</si>
  <si>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</si>
  <si>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</si>
  <si>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</si>
  <si>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</si>
  <si>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</si>
  <si>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</si>
  <si>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</si>
  <si>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</si>
  <si>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</si>
  <si>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</si>
  <si>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</si>
  <si>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</si>
  <si>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</si>
  <si>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</si>
  <si>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</si>
  <si>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</si>
  <si>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</si>
  <si>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</si>
  <si>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</si>
  <si>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</si>
  <si>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</si>
  <si>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</si>
  <si>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</si>
  <si>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</si>
  <si>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</si>
  <si>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</si>
  <si>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</si>
  <si>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</si>
  <si>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</si>
  <si>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</si>
  <si>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</si>
  <si>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</si>
  <si>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</si>
  <si>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</si>
  <si>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</si>
  <si>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</si>
  <si>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</si>
  <si>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</si>
  <si>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</si>
  <si>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</si>
  <si>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</si>
  <si>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</si>
  <si>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</si>
  <si>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</si>
  <si>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</si>
  <si>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</si>
  <si>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</si>
  <si>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</si>
  <si>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</si>
  <si>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</si>
  <si>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</si>
  <si>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</si>
  <si>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</si>
  <si>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</si>
  <si>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</si>
  <si>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</si>
  <si>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</si>
  <si>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</si>
  <si>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</si>
  <si>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</si>
  <si>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</si>
  <si>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</si>
  <si>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</si>
  <si>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</si>
  <si>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</si>
  <si>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</si>
  <si>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</si>
  <si>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</si>
  <si>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</si>
  <si>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</si>
  <si>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</si>
  <si>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</si>
  <si>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</si>
  <si>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</si>
  <si>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</si>
  <si>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</si>
  <si>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</si>
  <si>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</si>
  <si>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</si>
  <si>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</si>
  <si>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</si>
  <si>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</si>
  <si>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</si>
  <si>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</si>
  <si>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</si>
  <si>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</si>
  <si>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</si>
  <si>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</si>
  <si>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</si>
  <si>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</si>
  <si>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</si>
  <si>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</si>
  <si>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</si>
  <si>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</si>
  <si>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</si>
  <si>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</si>
  <si>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</si>
  <si>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</si>
  <si>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</si>
  <si>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</si>
  <si>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</si>
  <si>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</si>
  <si>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</si>
  <si>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</si>
  <si>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</si>
  <si>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</si>
  <si>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</si>
  <si>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</si>
  <si>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</si>
  <si>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</si>
  <si>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</si>
  <si>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</si>
  <si>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</si>
  <si>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</si>
  <si>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</si>
  <si>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</si>
  <si>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</si>
  <si>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</si>
  <si>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</si>
  <si>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</si>
  <si>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</si>
  <si>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</si>
  <si>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</si>
  <si>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</si>
  <si>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</si>
  <si>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</si>
  <si>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</si>
  <si>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</si>
  <si>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</si>
  <si>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</si>
  <si>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</si>
  <si>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</si>
  <si>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</si>
  <si>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</si>
  <si>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</si>
  <si>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</si>
  <si>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</si>
  <si>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</si>
  <si>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</si>
  <si>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</si>
  <si>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</si>
  <si>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</si>
  <si>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64125437677</t>
  </si>
  <si>
    <t>03292525</t>
  </si>
  <si>
    <t>040033437</t>
  </si>
  <si>
    <t>PONIKVE VODA d.o.o.</t>
  </si>
  <si>
    <t>Vršanska 14</t>
  </si>
  <si>
    <t>ponikve@ponikve.hr</t>
  </si>
  <si>
    <t>051654620</t>
  </si>
  <si>
    <t>www.ponikve.hr</t>
  </si>
  <si>
    <t>Zvjezdana Ponoš</t>
  </si>
  <si>
    <t>zvjezdana.ponos@ponikve.hr</t>
  </si>
  <si>
    <t>Neven Hržić srt.spec.ing.građ.</t>
  </si>
  <si>
    <t>89015118914</t>
  </si>
  <si>
    <t>24</t>
  </si>
  <si>
    <t>23</t>
  </si>
  <si>
    <t>22</t>
  </si>
  <si>
    <t>21</t>
  </si>
  <si>
    <t>19</t>
  </si>
  <si>
    <t>18</t>
  </si>
  <si>
    <t>17</t>
  </si>
  <si>
    <t>16</t>
  </si>
  <si>
    <t>*16</t>
  </si>
  <si>
    <t>15</t>
  </si>
  <si>
    <t>14</t>
  </si>
  <si>
    <t>13</t>
  </si>
  <si>
    <t>12</t>
  </si>
  <si>
    <t>11</t>
  </si>
  <si>
    <t>10</t>
  </si>
  <si>
    <t>*1.1.1</t>
  </si>
  <si>
    <t>9</t>
  </si>
  <si>
    <t>8</t>
  </si>
  <si>
    <t>7</t>
  </si>
  <si>
    <t>*7</t>
  </si>
  <si>
    <t>2</t>
  </si>
  <si>
    <t>3</t>
  </si>
  <si>
    <t>4.1</t>
  </si>
  <si>
    <t>4.2</t>
  </si>
  <si>
    <t>4.3</t>
  </si>
  <si>
    <t>4.4</t>
  </si>
  <si>
    <t>4.5</t>
  </si>
  <si>
    <t>4.6</t>
  </si>
  <si>
    <t>5</t>
  </si>
  <si>
    <t>6</t>
  </si>
  <si>
    <t>1.2.15</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</si>
</sst>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52897435.839999996</v>
      </c>
      <c r="I3" s="27">
        <f>ABS(ROUND(J3,0)-J3)+ABS(ROUND(K3,0)-K3)</f>
        <v>0</v>
      </c>
      <c r="J3" s="27">
        <f>Bilanca!I10</f>
        <v>872054004</v>
      </c>
      <c r="K3" s="27">
        <f>Bilanca!J10</f>
        <v>886408894</v>
      </c>
    </row>
    <row r="4" spans="1:11" ht="12.75">
      <c r="A4" s="4" t="s">
        <v>2697</v>
      </c>
      <c r="B4" s="25" t="s">
        <v>364</v>
      </c>
      <c r="D4" s="4" t="s">
        <v>554</v>
      </c>
      <c r="E4" s="4">
        <v>1</v>
      </c>
      <c r="F4" s="4">
        <f>Bilanca!G11</f>
        <v>3</v>
      </c>
      <c r="G4" s="4">
        <f>IF(Bilanca!H11=0,"",Bilanca!H11)</f>
      </c>
      <c r="H4" s="26">
        <f>J4/100*F4+2*K4/100*F4</f>
        <v>235195.88999999998</v>
      </c>
      <c r="I4" s="27">
        <f>ABS(ROUND(J4,0)-J4)+ABS(ROUND(K4,0)-K4)</f>
        <v>0</v>
      </c>
      <c r="J4" s="27">
        <f>Bilanca!I11</f>
        <v>2191057</v>
      </c>
      <c r="K4" s="27">
        <f>Bilanca!J11</f>
        <v>2824403</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03292525</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040033437</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64125437677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PONIKVE VODA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51500</v>
      </c>
      <c r="D10" s="4" t="s">
        <v>554</v>
      </c>
      <c r="E10" s="4">
        <v>1</v>
      </c>
      <c r="F10" s="4">
        <f>Bilanca!G17</f>
        <v>9</v>
      </c>
      <c r="G10" s="4" t="str">
        <f>IF(Bilanca!H17=0,"",Bilanca!H17)</f>
        <v>7</v>
      </c>
      <c r="H10" s="26">
        <f t="shared" si="0"/>
        <v>705587.6699999999</v>
      </c>
      <c r="I10" s="27">
        <f t="shared" si="1"/>
        <v>0</v>
      </c>
      <c r="J10" s="27">
        <f>Bilanca!I17</f>
        <v>2191057</v>
      </c>
      <c r="K10" s="27">
        <f>Bilanca!J17</f>
        <v>2824403</v>
      </c>
    </row>
    <row r="11" spans="1:11" ht="12.75">
      <c r="A11" s="4" t="s">
        <v>2737</v>
      </c>
      <c r="B11" s="25" t="str">
        <f>TRIM(RefStr!F31)</f>
        <v>Krk</v>
      </c>
      <c r="D11" s="4" t="s">
        <v>554</v>
      </c>
      <c r="E11" s="4">
        <v>1</v>
      </c>
      <c r="F11" s="4">
        <f>Bilanca!G18</f>
        <v>10</v>
      </c>
      <c r="G11" s="4">
        <f>IF(Bilanca!H18=0,"",Bilanca!H18)</f>
      </c>
      <c r="H11" s="26">
        <f t="shared" si="0"/>
        <v>263415769.7</v>
      </c>
      <c r="I11" s="27">
        <f t="shared" si="1"/>
        <v>0</v>
      </c>
      <c r="J11" s="27">
        <f>Bilanca!I18</f>
        <v>868335915</v>
      </c>
      <c r="K11" s="27">
        <f>Bilanca!J18</f>
        <v>882910891</v>
      </c>
    </row>
    <row r="12" spans="1:11" ht="12.75">
      <c r="A12" s="4" t="s">
        <v>2738</v>
      </c>
      <c r="B12" s="25" t="str">
        <f>TRIM(RefStr!C33)</f>
        <v>Vršanska 14</v>
      </c>
      <c r="D12" s="4" t="s">
        <v>554</v>
      </c>
      <c r="E12" s="4">
        <v>1</v>
      </c>
      <c r="F12" s="4">
        <f>Bilanca!G19</f>
        <v>11</v>
      </c>
      <c r="G12" s="4" t="str">
        <f>IF(Bilanca!H19=0,"",Bilanca!H19)</f>
        <v>7</v>
      </c>
      <c r="H12" s="26">
        <f t="shared" si="0"/>
        <v>3937060.0500000003</v>
      </c>
      <c r="I12" s="27">
        <f t="shared" si="1"/>
        <v>0</v>
      </c>
      <c r="J12" s="27">
        <f>Bilanca!I19</f>
        <v>11930485</v>
      </c>
      <c r="K12" s="27">
        <f>Bilanca!J19</f>
        <v>11930485</v>
      </c>
    </row>
    <row r="13" spans="1:11" ht="12.75">
      <c r="A13" s="4" t="s">
        <v>2884</v>
      </c>
      <c r="B13" s="25" t="str">
        <f>TRIM(RefStr!C35)</f>
        <v>ponikve@ponikve.hr</v>
      </c>
      <c r="D13" s="4" t="s">
        <v>554</v>
      </c>
      <c r="E13" s="4">
        <v>1</v>
      </c>
      <c r="F13" s="4">
        <f>Bilanca!G20</f>
        <v>12</v>
      </c>
      <c r="G13" s="4" t="str">
        <f>IF(Bilanca!H20=0,"",Bilanca!H20)</f>
        <v>*7</v>
      </c>
      <c r="H13" s="26">
        <f t="shared" si="0"/>
        <v>275042836.08</v>
      </c>
      <c r="I13" s="27">
        <f t="shared" si="1"/>
        <v>0</v>
      </c>
      <c r="J13" s="27">
        <f>Bilanca!I20</f>
        <v>775598142</v>
      </c>
      <c r="K13" s="27">
        <f>Bilanca!J20</f>
        <v>758212746</v>
      </c>
    </row>
    <row r="14" spans="1:11" ht="12.75">
      <c r="A14" s="4" t="s">
        <v>2885</v>
      </c>
      <c r="B14" s="25" t="str">
        <f>TRIM(RefStr!C37)</f>
        <v>www.ponikve.hr</v>
      </c>
      <c r="D14" s="4" t="s">
        <v>554</v>
      </c>
      <c r="E14" s="4">
        <v>1</v>
      </c>
      <c r="F14" s="4">
        <f>Bilanca!G21</f>
        <v>13</v>
      </c>
      <c r="G14" s="4" t="str">
        <f>IF(Bilanca!H21=0,"",Bilanca!H21)</f>
        <v>7</v>
      </c>
      <c r="H14" s="26">
        <f t="shared" si="0"/>
        <v>9195479.41</v>
      </c>
      <c r="I14" s="27">
        <f t="shared" si="1"/>
        <v>0</v>
      </c>
      <c r="J14" s="27">
        <f>Bilanca!I21</f>
        <v>22898797</v>
      </c>
      <c r="K14" s="27">
        <f>Bilanca!J21</f>
        <v>23917830</v>
      </c>
    </row>
    <row r="15" spans="1:11" ht="12.75">
      <c r="A15" s="4" t="s">
        <v>2741</v>
      </c>
      <c r="B15" s="25" t="str">
        <f>TEXT(RefStr!J39,"00")</f>
        <v>08</v>
      </c>
      <c r="D15" s="4" t="s">
        <v>554</v>
      </c>
      <c r="E15" s="4">
        <v>1</v>
      </c>
      <c r="F15" s="4">
        <f>Bilanca!G22</f>
        <v>14</v>
      </c>
      <c r="G15" s="4" t="str">
        <f>IF(Bilanca!H22=0,"",Bilanca!H22)</f>
        <v>7</v>
      </c>
      <c r="H15" s="26">
        <f t="shared" si="0"/>
        <v>5116358.1</v>
      </c>
      <c r="I15" s="27">
        <f t="shared" si="1"/>
        <v>0</v>
      </c>
      <c r="J15" s="27">
        <f>Bilanca!I22</f>
        <v>12527065</v>
      </c>
      <c r="K15" s="27">
        <f>Bilanca!J22</f>
        <v>12009175</v>
      </c>
    </row>
    <row r="16" spans="1:11" ht="12.75">
      <c r="A16" s="4" t="s">
        <v>2740</v>
      </c>
      <c r="B16" s="25" t="str">
        <f>TEXT(RefStr!C39,"000")</f>
        <v>215</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t="str">
        <f>IF(Bilanca!H24=0,"",Bilanca!H24)</f>
        <v>8</v>
      </c>
      <c r="H17" s="26">
        <f t="shared" si="0"/>
        <v>10432649.120000001</v>
      </c>
      <c r="I17" s="27">
        <f t="shared" si="1"/>
        <v>0</v>
      </c>
      <c r="J17" s="27">
        <f>Bilanca!I24</f>
        <v>24279237</v>
      </c>
      <c r="K17" s="27">
        <f>Bilanca!J24</f>
        <v>20462410</v>
      </c>
    </row>
    <row r="18" spans="1:11" ht="12.75">
      <c r="A18" s="4" t="s">
        <v>2886</v>
      </c>
      <c r="B18" s="25" t="str">
        <f>IF(RefStr!C21&lt;&gt;"",RefStr!C21,"")</f>
        <v>NE</v>
      </c>
      <c r="D18" s="4" t="s">
        <v>554</v>
      </c>
      <c r="E18" s="4">
        <v>1</v>
      </c>
      <c r="F18" s="4">
        <f>Bilanca!G25</f>
        <v>17</v>
      </c>
      <c r="G18" s="4" t="str">
        <f>IF(Bilanca!H25=0,"",Bilanca!H25)</f>
        <v>7</v>
      </c>
      <c r="H18" s="26">
        <f t="shared" si="0"/>
        <v>22755975.429999996</v>
      </c>
      <c r="I18" s="27">
        <f t="shared" si="1"/>
        <v>0</v>
      </c>
      <c r="J18" s="27">
        <f>Bilanca!I25</f>
        <v>21102189</v>
      </c>
      <c r="K18" s="27">
        <f>Bilanca!J25</f>
        <v>56378245</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404160</v>
      </c>
      <c r="I21" s="27">
        <f t="shared" si="1"/>
        <v>0</v>
      </c>
      <c r="J21" s="27">
        <f>Bilanca!I28</f>
        <v>673600</v>
      </c>
      <c r="K21" s="27">
        <f>Bilanca!J28</f>
        <v>673600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90</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93</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93</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95</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t="str">
        <f>IF(Bilanca!H38=0,"",Bilanca!H38)</f>
        <v>9</v>
      </c>
      <c r="H31" s="26">
        <f t="shared" si="0"/>
        <v>606240</v>
      </c>
      <c r="I31" s="27">
        <f t="shared" si="1"/>
        <v>0</v>
      </c>
      <c r="J31" s="27">
        <f>Bilanca!I38</f>
        <v>673600</v>
      </c>
      <c r="K31" s="27">
        <f>Bilanca!J38</f>
        <v>673600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t="str">
        <f>IF(Bilanca!H44=0,"",Bilanca!H44)</f>
        <v>*1.1.1</v>
      </c>
      <c r="H37" s="26">
        <f t="shared" si="0"/>
        <v>307235.52</v>
      </c>
      <c r="I37" s="27">
        <f t="shared" si="1"/>
        <v>0</v>
      </c>
      <c r="J37" s="27">
        <f>Bilanca!I44</f>
        <v>853432</v>
      </c>
      <c r="K37" s="27">
        <f>Bilanca!J44</f>
        <v>0</v>
      </c>
    </row>
    <row r="38" spans="1:11" ht="12.75">
      <c r="A38" s="4" t="s">
        <v>2906</v>
      </c>
      <c r="B38" s="25">
        <f>RefStr!B66</f>
        <v>0</v>
      </c>
      <c r="D38" s="4" t="s">
        <v>554</v>
      </c>
      <c r="E38" s="4">
        <v>1</v>
      </c>
      <c r="F38" s="4">
        <f>Bilanca!G45</f>
        <v>37</v>
      </c>
      <c r="G38" s="4">
        <f>IF(Bilanca!H45=0,"",Bilanca!H45)</f>
      </c>
      <c r="H38" s="26">
        <f t="shared" si="0"/>
        <v>54926455.97</v>
      </c>
      <c r="I38" s="27">
        <f t="shared" si="1"/>
        <v>0</v>
      </c>
      <c r="J38" s="27">
        <f>Bilanca!I45</f>
        <v>45779963</v>
      </c>
      <c r="K38" s="27">
        <f>Bilanca!J45</f>
        <v>51334959</v>
      </c>
    </row>
    <row r="39" spans="1:11" ht="12.75">
      <c r="A39" s="4" t="s">
        <v>1611</v>
      </c>
      <c r="B39" s="25" t="str">
        <f>RefStr!C68</f>
        <v>Zvjezdana Ponoš</v>
      </c>
      <c r="D39" s="4" t="s">
        <v>554</v>
      </c>
      <c r="E39" s="4">
        <v>1</v>
      </c>
      <c r="F39" s="4">
        <f>Bilanca!G46</f>
        <v>38</v>
      </c>
      <c r="G39" s="4">
        <f>IF(Bilanca!H46=0,"",Bilanca!H46)</f>
      </c>
      <c r="H39" s="26">
        <f t="shared" si="0"/>
        <v>6825578.24</v>
      </c>
      <c r="I39" s="27">
        <f t="shared" si="1"/>
        <v>0</v>
      </c>
      <c r="J39" s="27">
        <f>Bilanca!I46</f>
        <v>6476164</v>
      </c>
      <c r="K39" s="27">
        <f>Bilanca!J46</f>
        <v>5742942</v>
      </c>
    </row>
    <row r="40" spans="1:11" ht="12.75">
      <c r="A40" s="4" t="s">
        <v>1612</v>
      </c>
      <c r="B40" s="25" t="str">
        <f>TRIM(RefStr!C70)</f>
        <v>051654620</v>
      </c>
      <c r="D40" s="4" t="s">
        <v>554</v>
      </c>
      <c r="E40" s="4">
        <v>1</v>
      </c>
      <c r="F40" s="4">
        <f>Bilanca!G47</f>
        <v>39</v>
      </c>
      <c r="G40" s="4" t="str">
        <f>IF(Bilanca!H47=0,"",Bilanca!H47)</f>
        <v>10</v>
      </c>
      <c r="H40" s="26">
        <f t="shared" si="0"/>
        <v>6876219.09</v>
      </c>
      <c r="I40" s="27">
        <f t="shared" si="1"/>
        <v>0</v>
      </c>
      <c r="J40" s="27">
        <f>Bilanca!I47</f>
        <v>6475587</v>
      </c>
      <c r="K40" s="27">
        <f>Bilanca!J47</f>
        <v>5577872</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zvjezdana.ponos@ponikve.hr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Neven Hržić srt.spec.ing.građ.</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t="str">
        <f>IF(Bilanca!H51=0,"",Bilanca!H51)</f>
        <v>10</v>
      </c>
      <c r="H44" s="26">
        <f t="shared" si="0"/>
        <v>142208.31</v>
      </c>
      <c r="I44" s="27">
        <f t="shared" si="1"/>
        <v>0</v>
      </c>
      <c r="J44" s="27">
        <f>Bilanca!I51</f>
        <v>577</v>
      </c>
      <c r="K44" s="27">
        <f>Bilanca!J51</f>
        <v>165070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11492033.260000002</v>
      </c>
      <c r="I47" s="27">
        <f t="shared" si="3"/>
        <v>0</v>
      </c>
      <c r="J47" s="27">
        <f>Bilanca!I54</f>
        <v>7753755</v>
      </c>
      <c r="K47" s="27">
        <f>Bilanca!J54</f>
        <v>8614463</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DA</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t="str">
        <f>IF(Bilanca!H57=0,"",Bilanca!H57)</f>
        <v>11</v>
      </c>
      <c r="H50" s="26">
        <f t="shared" si="2"/>
        <v>10430584.92</v>
      </c>
      <c r="I50" s="27">
        <f t="shared" si="3"/>
        <v>0</v>
      </c>
      <c r="J50" s="27">
        <f>Bilanca!I57</f>
        <v>7268836</v>
      </c>
      <c r="K50" s="27">
        <f>Bilanca!J57</f>
        <v>7009036</v>
      </c>
    </row>
    <row r="51" spans="1:11" ht="12.75">
      <c r="A51" s="4" t="s">
        <v>1035</v>
      </c>
      <c r="B51" s="25" t="str">
        <f>RefStr!I60</f>
        <v>DA</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t="str">
        <f>IF(Bilanca!H59=0,"",Bilanca!H59)</f>
        <v>12</v>
      </c>
      <c r="H52" s="26">
        <f t="shared" si="2"/>
        <v>45254.850000000006</v>
      </c>
      <c r="I52" s="27">
        <f t="shared" si="3"/>
        <v>0</v>
      </c>
      <c r="J52" s="27">
        <f>Bilanca!I59</f>
        <v>22291</v>
      </c>
      <c r="K52" s="27">
        <f>Bilanca!J59</f>
        <v>33222</v>
      </c>
    </row>
    <row r="53" spans="1:11" ht="12.75">
      <c r="A53" s="4" t="s">
        <v>1301</v>
      </c>
      <c r="B53" s="25" t="str">
        <f>RefStr!I56</f>
        <v>DA</v>
      </c>
      <c r="D53" s="4" t="s">
        <v>554</v>
      </c>
      <c r="E53" s="4">
        <v>1</v>
      </c>
      <c r="F53" s="4">
        <f>Bilanca!G60</f>
        <v>52</v>
      </c>
      <c r="G53" s="4" t="str">
        <f>IF(Bilanca!H60=0,"",Bilanca!H60)</f>
        <v>13</v>
      </c>
      <c r="H53" s="26">
        <f t="shared" si="2"/>
        <v>1875659.76</v>
      </c>
      <c r="I53" s="27">
        <f t="shared" si="3"/>
        <v>0</v>
      </c>
      <c r="J53" s="27">
        <f>Bilanca!I60</f>
        <v>462628</v>
      </c>
      <c r="K53" s="27">
        <f>Bilanca!J60</f>
        <v>1572205</v>
      </c>
    </row>
    <row r="54" spans="1:11" ht="12.75">
      <c r="A54" s="4" t="s">
        <v>1302</v>
      </c>
      <c r="B54" s="25" t="str">
        <f>RefStr!I62</f>
        <v>DA</v>
      </c>
      <c r="D54" s="4" t="s">
        <v>554</v>
      </c>
      <c r="E54" s="4">
        <v>1</v>
      </c>
      <c r="F54" s="4">
        <f>Bilanca!G61</f>
        <v>53</v>
      </c>
      <c r="G54" s="4">
        <f>IF(Bilanca!H61=0,"",Bilanca!H61)</f>
      </c>
      <c r="H54" s="26">
        <f t="shared" si="2"/>
        <v>865150.8</v>
      </c>
      <c r="I54" s="27">
        <f t="shared" si="3"/>
        <v>0</v>
      </c>
      <c r="J54" s="27">
        <f>Bilanca!I61</f>
        <v>1500060</v>
      </c>
      <c r="K54" s="27">
        <f>Bilanca!J61</f>
        <v>66150</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15993544870.529999</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t="str">
        <f>IF(Bilanca!H69=0,"",Bilanca!H69)</f>
        <v>14</v>
      </c>
      <c r="H62" s="26">
        <f t="shared" si="2"/>
        <v>995739.6</v>
      </c>
      <c r="I62" s="27">
        <f t="shared" si="3"/>
        <v>0</v>
      </c>
      <c r="J62" s="27">
        <f>Bilanca!I69</f>
        <v>1500060</v>
      </c>
      <c r="K62" s="27">
        <f>Bilanca!J69</f>
        <v>66150</v>
      </c>
    </row>
    <row r="63" spans="1:11" ht="12.75">
      <c r="A63" s="4" t="s">
        <v>614</v>
      </c>
      <c r="B63" s="25" t="str">
        <f>IF(ISNUMBER(VALUE(RefStr!L21)),TEXT(INT(VALUE(RefStr!L21)),"00000000000"),"")</f>
        <v>89015118914</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15</v>
      </c>
      <c r="H64" s="26">
        <f t="shared" si="2"/>
        <v>65439858.96</v>
      </c>
      <c r="I64" s="27">
        <f t="shared" si="3"/>
        <v>0</v>
      </c>
      <c r="J64" s="27">
        <f>Bilanca!I71</f>
        <v>30049984</v>
      </c>
      <c r="K64" s="27">
        <f>Bilanca!J71</f>
        <v>36911404</v>
      </c>
    </row>
    <row r="65" spans="1:11" ht="12.75">
      <c r="A65" s="4" t="s">
        <v>923</v>
      </c>
      <c r="B65" s="25" t="str">
        <f>TRIM(RefStr!N19)</f>
        <v>HSFI</v>
      </c>
      <c r="D65" s="4" t="s">
        <v>554</v>
      </c>
      <c r="E65" s="4">
        <v>1</v>
      </c>
      <c r="F65" s="4">
        <f>Bilanca!G72</f>
        <v>64</v>
      </c>
      <c r="G65" s="4" t="str">
        <f>IF(Bilanca!H72=0,"",Bilanca!H72)</f>
        <v>15</v>
      </c>
      <c r="H65" s="26">
        <f t="shared" si="2"/>
        <v>1409450.24</v>
      </c>
      <c r="I65" s="27">
        <f t="shared" si="3"/>
        <v>0</v>
      </c>
      <c r="J65" s="27">
        <f>Bilanca!I72</f>
        <v>353666</v>
      </c>
      <c r="K65" s="27">
        <f>Bilanca!J72</f>
        <v>924300</v>
      </c>
    </row>
    <row r="66" spans="1:11" ht="12.75">
      <c r="A66" s="4" t="s">
        <v>924</v>
      </c>
      <c r="B66" s="25">
        <f>RefStr!C23</f>
        <v>1</v>
      </c>
      <c r="D66" s="4" t="s">
        <v>554</v>
      </c>
      <c r="E66" s="4">
        <v>1</v>
      </c>
      <c r="F66" s="4">
        <f>Bilanca!G73</f>
        <v>65</v>
      </c>
      <c r="G66" s="4">
        <f>IF(Bilanca!H73=0,"",Bilanca!H73)</f>
      </c>
      <c r="H66" s="26">
        <f t="shared" si="2"/>
        <v>1817090560.35</v>
      </c>
      <c r="I66" s="27">
        <f t="shared" si="3"/>
        <v>0</v>
      </c>
      <c r="J66" s="27">
        <f>Bilanca!I73</f>
        <v>918187633</v>
      </c>
      <c r="K66" s="27">
        <f>Bilanca!J73</f>
        <v>938668153</v>
      </c>
    </row>
    <row r="67" spans="1:11" ht="12.75">
      <c r="A67" s="4" t="s">
        <v>925</v>
      </c>
      <c r="B67" s="25" t="str">
        <f>TRIM(RefStr!L35)</f>
        <v>051654620</v>
      </c>
      <c r="D67" s="4" t="s">
        <v>554</v>
      </c>
      <c r="E67" s="4">
        <v>1</v>
      </c>
      <c r="F67" s="4">
        <f>Bilanca!G74</f>
        <v>66</v>
      </c>
      <c r="G67" s="4" t="str">
        <f>IF(Bilanca!H74=0,"",Bilanca!H74)</f>
        <v>1.2.15</v>
      </c>
      <c r="H67" s="26">
        <f t="shared" si="2"/>
        <v>442009925.93999994</v>
      </c>
      <c r="I67" s="27">
        <f t="shared" si="3"/>
        <v>0</v>
      </c>
      <c r="J67" s="27">
        <f>Bilanca!I74</f>
        <v>223140621</v>
      </c>
      <c r="K67" s="27">
        <f>Bilanca!J74</f>
        <v>223285694</v>
      </c>
    </row>
    <row r="68" spans="1:11" ht="12.75">
      <c r="A68" s="4" t="s">
        <v>926</v>
      </c>
      <c r="B68" s="25">
        <f>RefStr!C44</f>
        <v>1</v>
      </c>
      <c r="D68" s="4" t="s">
        <v>554</v>
      </c>
      <c r="E68" s="4">
        <v>1</v>
      </c>
      <c r="F68" s="4">
        <f>Bilanca!G76</f>
        <v>67</v>
      </c>
      <c r="G68" s="4">
        <f>IF(Bilanca!H76=0,"",Bilanca!H76)</f>
      </c>
      <c r="H68" s="26">
        <f t="shared" si="2"/>
        <v>769802696.83</v>
      </c>
      <c r="I68" s="27">
        <f t="shared" si="3"/>
        <v>0</v>
      </c>
      <c r="J68" s="27">
        <f>Bilanca!I76</f>
        <v>380518151</v>
      </c>
      <c r="K68" s="27">
        <f>Bilanca!J76</f>
        <v>384220549</v>
      </c>
    </row>
    <row r="69" spans="1:11" ht="12.75">
      <c r="A69" s="4" t="s">
        <v>927</v>
      </c>
      <c r="B69" s="25">
        <f>TRIM(RefStr!M46)</f>
      </c>
      <c r="D69" s="4" t="s">
        <v>554</v>
      </c>
      <c r="E69" s="4">
        <v>1</v>
      </c>
      <c r="F69" s="4">
        <f>Bilanca!G77</f>
        <v>68</v>
      </c>
      <c r="G69" s="4" t="str">
        <f>IF(Bilanca!H77=0,"",Bilanca!H77)</f>
        <v>16</v>
      </c>
      <c r="H69" s="26">
        <f t="shared" si="2"/>
        <v>772064520</v>
      </c>
      <c r="I69" s="27">
        <f t="shared" si="3"/>
        <v>0</v>
      </c>
      <c r="J69" s="27">
        <f>Bilanca!I77</f>
        <v>378463000</v>
      </c>
      <c r="K69" s="27">
        <f>Bilanca!J77</f>
        <v>378463000</v>
      </c>
    </row>
    <row r="70" spans="1:11" ht="12.75">
      <c r="A70" s="4" t="s">
        <v>928</v>
      </c>
      <c r="B70" s="25">
        <f>RefStr!C46</f>
        <v>0</v>
      </c>
      <c r="D70" s="4" t="s">
        <v>554</v>
      </c>
      <c r="E70" s="4">
        <v>1</v>
      </c>
      <c r="F70" s="4">
        <f>Bilanca!G78</f>
        <v>69</v>
      </c>
      <c r="G70" s="4" t="str">
        <f>IF(Bilanca!H78=0,"",Bilanca!H78)</f>
        <v>16</v>
      </c>
      <c r="H70" s="26">
        <f t="shared" si="2"/>
        <v>6545154.39</v>
      </c>
      <c r="I70" s="27">
        <f t="shared" si="3"/>
        <v>0</v>
      </c>
      <c r="J70" s="27">
        <f>Bilanca!I78</f>
        <v>2642929</v>
      </c>
      <c r="K70" s="27">
        <f>Bilanca!J78</f>
        <v>3421401</v>
      </c>
    </row>
    <row r="71" spans="4:11" ht="12.75">
      <c r="D71" s="4" t="s">
        <v>554</v>
      </c>
      <c r="E71" s="4">
        <v>1</v>
      </c>
      <c r="F71" s="4">
        <f>Bilanca!G79</f>
        <v>70</v>
      </c>
      <c r="G71" s="4">
        <f>IF(Bilanca!H79=0,"",Bilanca!H79)</f>
      </c>
      <c r="H71" s="26">
        <f t="shared" si="2"/>
        <v>2423.3999999999996</v>
      </c>
      <c r="I71" s="27">
        <f t="shared" si="3"/>
        <v>0</v>
      </c>
      <c r="J71" s="27">
        <f>Bilanca!I79</f>
        <v>1154</v>
      </c>
      <c r="K71" s="27">
        <f>Bilanca!J79</f>
        <v>1154</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t="str">
        <f>IF(Bilanca!H84=0,"",Bilanca!H84)</f>
        <v>16</v>
      </c>
      <c r="H76" s="26">
        <f t="shared" si="2"/>
        <v>2596.4999999999995</v>
      </c>
      <c r="I76" s="27">
        <f t="shared" si="3"/>
        <v>0</v>
      </c>
      <c r="J76" s="27">
        <f>Bilanca!I84</f>
        <v>1154</v>
      </c>
      <c r="K76" s="27">
        <f>Bilanca!J84</f>
        <v>1154</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-1603766.67</v>
      </c>
      <c r="I84" s="27">
        <f t="shared" si="3"/>
        <v>0</v>
      </c>
      <c r="J84" s="27">
        <f>Bilanca!I92</f>
        <v>-754385</v>
      </c>
      <c r="K84" s="27">
        <f>Bilanca!J92</f>
        <v>-588932</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t="str">
        <f>IF(Bilanca!H94=0,"",Bilanca!H94)</f>
        <v>*16</v>
      </c>
      <c r="H86" s="26">
        <f t="shared" si="2"/>
        <v>1642411.65</v>
      </c>
      <c r="I86" s="27">
        <f t="shared" si="3"/>
        <v>0</v>
      </c>
      <c r="J86" s="27">
        <f>Bilanca!I94</f>
        <v>754385</v>
      </c>
      <c r="K86" s="27">
        <f>Bilanca!J94</f>
        <v>588932</v>
      </c>
    </row>
    <row r="87" spans="4:11" ht="12.75">
      <c r="D87" s="4" t="s">
        <v>554</v>
      </c>
      <c r="E87" s="4">
        <v>1</v>
      </c>
      <c r="F87" s="4">
        <f>Bilanca!G95</f>
        <v>86</v>
      </c>
      <c r="G87" s="4">
        <f>IF(Bilanca!H95=0,"",Bilanca!H95)</f>
      </c>
      <c r="H87" s="26">
        <f>J87/100*F87+2*K87/100*F87</f>
        <v>5171442.3</v>
      </c>
      <c r="I87" s="27">
        <f>ABS(ROUND(J87,0)-J87)+ABS(ROUND(K87,0)-K87)</f>
        <v>0</v>
      </c>
      <c r="J87" s="27">
        <f>Bilanca!I95</f>
        <v>165453</v>
      </c>
      <c r="K87" s="27">
        <f>Bilanca!J95</f>
        <v>2923926</v>
      </c>
    </row>
    <row r="88" spans="4:11" ht="12.75">
      <c r="D88" s="4" t="s">
        <v>554</v>
      </c>
      <c r="E88" s="4">
        <v>1</v>
      </c>
      <c r="F88" s="4">
        <f>Bilanca!G96</f>
        <v>87</v>
      </c>
      <c r="G88" s="4" t="str">
        <f>IF(Bilanca!H96=0,"",Bilanca!H96)</f>
        <v>16</v>
      </c>
      <c r="H88" s="26">
        <f>J88/100*F88+2*K88/100*F88</f>
        <v>5231575.35</v>
      </c>
      <c r="I88" s="27">
        <f>ABS(ROUND(J88,0)-J88)+ABS(ROUND(K88,0)-K88)</f>
        <v>0</v>
      </c>
      <c r="J88" s="27">
        <f>Bilanca!I96</f>
        <v>165453</v>
      </c>
      <c r="K88" s="27">
        <f>Bilanca!J96</f>
        <v>2923926</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173344413.57</v>
      </c>
      <c r="I98" s="27">
        <f t="shared" si="5"/>
        <v>0</v>
      </c>
      <c r="J98" s="27">
        <f>Bilanca!I106</f>
        <v>61535385</v>
      </c>
      <c r="K98" s="27">
        <f>Bilanca!J106</f>
        <v>58585098</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t="str">
        <f>IF(Bilanca!H112=0,"",Bilanca!H112)</f>
        <v>17</v>
      </c>
      <c r="H104" s="26">
        <f t="shared" si="4"/>
        <v>184066748.43</v>
      </c>
      <c r="I104" s="27">
        <f t="shared" si="5"/>
        <v>0</v>
      </c>
      <c r="J104" s="27">
        <f>Bilanca!I112</f>
        <v>61535385</v>
      </c>
      <c r="K104" s="27">
        <f>Bilanca!J112</f>
        <v>58585098</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73892187.82</v>
      </c>
      <c r="I110" s="27">
        <f t="shared" si="5"/>
        <v>0</v>
      </c>
      <c r="J110" s="27">
        <f>Bilanca!I118</f>
        <v>21955608</v>
      </c>
      <c r="K110" s="27">
        <f>Bilanca!J118</f>
        <v>22917695</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t="str">
        <f>IF(Bilanca!H123=0,"",Bilanca!H123)</f>
        <v>18</v>
      </c>
      <c r="H115" s="26">
        <f t="shared" si="4"/>
        <v>515585.52</v>
      </c>
      <c r="I115" s="27">
        <f t="shared" si="5"/>
        <v>0</v>
      </c>
      <c r="J115" s="27">
        <f>Bilanca!I123</f>
        <v>148756</v>
      </c>
      <c r="K115" s="27">
        <f>Bilanca!J123</f>
        <v>151756</v>
      </c>
    </row>
    <row r="116" spans="4:11" ht="12.75">
      <c r="D116" s="4" t="s">
        <v>554</v>
      </c>
      <c r="E116" s="4">
        <v>1</v>
      </c>
      <c r="F116" s="4">
        <f>Bilanca!G124</f>
        <v>115</v>
      </c>
      <c r="G116" s="4" t="str">
        <f>IF(Bilanca!H124=0,"",Bilanca!H124)</f>
        <v>17</v>
      </c>
      <c r="H116" s="26">
        <f t="shared" si="4"/>
        <v>17070146.9</v>
      </c>
      <c r="I116" s="27">
        <f t="shared" si="5"/>
        <v>0</v>
      </c>
      <c r="J116" s="27">
        <f>Bilanca!I124</f>
        <v>4397588</v>
      </c>
      <c r="K116" s="27">
        <f>Bilanca!J124</f>
        <v>5223009</v>
      </c>
    </row>
    <row r="117" spans="4:11" ht="12.75">
      <c r="D117" s="4" t="s">
        <v>554</v>
      </c>
      <c r="E117" s="4">
        <v>1</v>
      </c>
      <c r="F117" s="4">
        <f>Bilanca!G125</f>
        <v>116</v>
      </c>
      <c r="G117" s="4" t="str">
        <f>IF(Bilanca!H125=0,"",Bilanca!H125)</f>
        <v>19</v>
      </c>
      <c r="H117" s="26">
        <f t="shared" si="4"/>
        <v>560842.6</v>
      </c>
      <c r="I117" s="27">
        <f t="shared" si="5"/>
        <v>0</v>
      </c>
      <c r="J117" s="27">
        <f>Bilanca!I125</f>
        <v>151447</v>
      </c>
      <c r="K117" s="27">
        <f>Bilanca!J125</f>
        <v>166019</v>
      </c>
    </row>
    <row r="118" spans="4:11" ht="12.75">
      <c r="D118" s="4" t="s">
        <v>554</v>
      </c>
      <c r="E118" s="4">
        <v>1</v>
      </c>
      <c r="F118" s="4">
        <f>Bilanca!G126</f>
        <v>117</v>
      </c>
      <c r="G118" s="4" t="str">
        <f>IF(Bilanca!H126=0,"",Bilanca!H126)</f>
        <v>20</v>
      </c>
      <c r="H118" s="26">
        <f t="shared" si="4"/>
        <v>51680761.47</v>
      </c>
      <c r="I118" s="27">
        <f t="shared" si="5"/>
        <v>0</v>
      </c>
      <c r="J118" s="27">
        <f>Bilanca!I126</f>
        <v>14384819</v>
      </c>
      <c r="K118" s="27">
        <f>Bilanca!J126</f>
        <v>14893386</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t="str">
        <f>IF(Bilanca!H128=0,"",Bilanca!H128)</f>
        <v>21</v>
      </c>
      <c r="H120" s="26">
        <f t="shared" si="4"/>
        <v>2674033.5300000003</v>
      </c>
      <c r="I120" s="27">
        <f t="shared" si="5"/>
        <v>0</v>
      </c>
      <c r="J120" s="27">
        <f>Bilanca!I128</f>
        <v>759021</v>
      </c>
      <c r="K120" s="27">
        <f>Bilanca!J128</f>
        <v>744033</v>
      </c>
    </row>
    <row r="121" spans="4:11" ht="12.75">
      <c r="D121" s="4" t="s">
        <v>554</v>
      </c>
      <c r="E121" s="4">
        <v>1</v>
      </c>
      <c r="F121" s="4">
        <f>Bilanca!G129</f>
        <v>120</v>
      </c>
      <c r="G121" s="4" t="str">
        <f>IF(Bilanca!H129=0,"",Bilanca!H129)</f>
        <v>22</v>
      </c>
      <c r="H121" s="26">
        <f t="shared" si="4"/>
        <v>1869062.4</v>
      </c>
      <c r="I121" s="27">
        <f t="shared" si="5"/>
        <v>0</v>
      </c>
      <c r="J121" s="27">
        <f>Bilanca!I129</f>
        <v>508230</v>
      </c>
      <c r="K121" s="27">
        <f>Bilanca!J129</f>
        <v>524661</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t="str">
        <f>IF(Bilanca!H132=0,"",Bilanca!H132)</f>
        <v>23</v>
      </c>
      <c r="H124" s="26">
        <f t="shared" si="4"/>
        <v>4963553.069999999</v>
      </c>
      <c r="I124" s="27">
        <f t="shared" si="5"/>
        <v>0</v>
      </c>
      <c r="J124" s="27">
        <f>Bilanca!I132</f>
        <v>1605747</v>
      </c>
      <c r="K124" s="27">
        <f>Bilanca!J132</f>
        <v>1214831</v>
      </c>
    </row>
    <row r="125" spans="4:11" ht="12.75">
      <c r="D125" s="4" t="s">
        <v>554</v>
      </c>
      <c r="E125" s="4">
        <v>1</v>
      </c>
      <c r="F125" s="4">
        <f>Bilanca!G133</f>
        <v>124</v>
      </c>
      <c r="G125" s="4" t="str">
        <f>IF(Bilanca!H133=0,"",Bilanca!H133)</f>
        <v>24</v>
      </c>
      <c r="H125" s="26">
        <f t="shared" si="4"/>
        <v>1736084457.6399999</v>
      </c>
      <c r="I125" s="27">
        <f t="shared" si="5"/>
        <v>0</v>
      </c>
      <c r="J125" s="27">
        <f>Bilanca!I133</f>
        <v>454178489</v>
      </c>
      <c r="K125" s="27">
        <f>Bilanca!J133</f>
        <v>472944811</v>
      </c>
    </row>
    <row r="126" spans="4:11" ht="12.75">
      <c r="D126" s="4" t="s">
        <v>554</v>
      </c>
      <c r="E126" s="4">
        <v>1</v>
      </c>
      <c r="F126" s="4">
        <f>Bilanca!G134</f>
        <v>125</v>
      </c>
      <c r="G126" s="4">
        <f>IF(Bilanca!H134=0,"",Bilanca!H134)</f>
      </c>
      <c r="H126" s="26">
        <f t="shared" si="4"/>
        <v>3494404923.75</v>
      </c>
      <c r="I126" s="27">
        <f t="shared" si="5"/>
        <v>0</v>
      </c>
      <c r="J126" s="27">
        <f>Bilanca!I134</f>
        <v>918187633</v>
      </c>
      <c r="K126" s="27">
        <f>Bilanca!J134</f>
        <v>938668153</v>
      </c>
    </row>
    <row r="127" spans="4:11" ht="12.75">
      <c r="D127" s="4" t="s">
        <v>554</v>
      </c>
      <c r="E127" s="4">
        <v>1</v>
      </c>
      <c r="F127" s="4">
        <f>Bilanca!G135</f>
        <v>126</v>
      </c>
      <c r="G127" s="4" t="str">
        <f>IF(Bilanca!H135=0,"",Bilanca!H135)</f>
        <v>1.2.15</v>
      </c>
      <c r="H127" s="26">
        <f t="shared" si="4"/>
        <v>843837131.3399999</v>
      </c>
      <c r="I127" s="27">
        <f t="shared" si="5"/>
        <v>0</v>
      </c>
      <c r="J127" s="27">
        <f>Bilanca!I135</f>
        <v>223140621</v>
      </c>
      <c r="K127" s="27">
        <f>Bilanca!J135</f>
        <v>223285694</v>
      </c>
    </row>
    <row r="128" spans="4:11" ht="12.75">
      <c r="D128" s="4" t="s">
        <v>794</v>
      </c>
      <c r="E128" s="4">
        <v>2</v>
      </c>
      <c r="F128" s="4">
        <f>RDG!G8</f>
        <v>127</v>
      </c>
      <c r="G128" s="4" t="str">
        <f>IF(RDG!H8=0,"",RDG!H8)</f>
        <v>2</v>
      </c>
      <c r="H128" s="26">
        <f t="shared" si="4"/>
        <v>244865512.3</v>
      </c>
      <c r="I128" s="4">
        <f t="shared" si="5"/>
        <v>0</v>
      </c>
      <c r="J128" s="27">
        <f>RDG!I8</f>
        <v>54580730</v>
      </c>
      <c r="K128" s="27">
        <f>RDG!J8</f>
        <v>69113380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196441494.11999997</v>
      </c>
      <c r="I130" s="4">
        <f aca="true" t="shared" si="7" ref="I130:I192">ABS(ROUND(J130,0)-J130)+ABS(ROUND(K130,0)-K130)</f>
        <v>0</v>
      </c>
      <c r="J130" s="27">
        <f>RDG!I10</f>
        <v>46176090</v>
      </c>
      <c r="K130" s="27">
        <f>RDG!J10</f>
        <v>53052069</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53495985.839999996</v>
      </c>
      <c r="I133" s="4">
        <f t="shared" si="7"/>
        <v>0</v>
      </c>
      <c r="J133" s="27">
        <f>RDG!I13</f>
        <v>8404640</v>
      </c>
      <c r="K133" s="27">
        <f>RDG!J13</f>
        <v>16061311</v>
      </c>
    </row>
    <row r="134" spans="4:11" ht="12.75">
      <c r="D134" s="4" t="s">
        <v>794</v>
      </c>
      <c r="E134" s="4">
        <v>2</v>
      </c>
      <c r="F134" s="4">
        <f>RDG!G14</f>
        <v>133</v>
      </c>
      <c r="G134" s="4">
        <f>IF(RDG!H14=0,"",RDG!H14)</f>
      </c>
      <c r="H134" s="26">
        <f t="shared" si="6"/>
        <v>241728464.25</v>
      </c>
      <c r="I134" s="4">
        <f t="shared" si="7"/>
        <v>0</v>
      </c>
      <c r="J134" s="27">
        <f>RDG!I14</f>
        <v>53390431</v>
      </c>
      <c r="K134" s="27">
        <f>RDG!J14</f>
        <v>64180147</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t="str">
        <f>IF(RDG!H16=0,"",RDG!H16)</f>
        <v>4.1</v>
      </c>
      <c r="H136" s="26">
        <f t="shared" si="6"/>
        <v>74790596.7</v>
      </c>
      <c r="I136" s="4">
        <f t="shared" si="7"/>
        <v>0</v>
      </c>
      <c r="J136" s="27">
        <f>RDG!I16</f>
        <v>17022558</v>
      </c>
      <c r="K136" s="27">
        <f>RDG!J16</f>
        <v>19188942</v>
      </c>
    </row>
    <row r="137" spans="4:11" ht="12.75">
      <c r="D137" s="4" t="s">
        <v>794</v>
      </c>
      <c r="E137" s="4">
        <v>2</v>
      </c>
      <c r="F137" s="4">
        <f>RDG!G17</f>
        <v>136</v>
      </c>
      <c r="G137" s="4">
        <f>IF(RDG!H17=0,"",RDG!H17)</f>
      </c>
      <c r="H137" s="26">
        <f t="shared" si="6"/>
        <v>36986715.04</v>
      </c>
      <c r="I137" s="4">
        <f t="shared" si="7"/>
        <v>0</v>
      </c>
      <c r="J137" s="27">
        <f>RDG!I17</f>
        <v>7733876</v>
      </c>
      <c r="K137" s="27">
        <f>RDG!J17</f>
        <v>9731119</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38921972.64</v>
      </c>
      <c r="I139" s="4">
        <f t="shared" si="7"/>
        <v>0</v>
      </c>
      <c r="J139" s="27">
        <f>RDG!I19</f>
        <v>9288682</v>
      </c>
      <c r="K139" s="27">
        <f>RDG!J19</f>
        <v>9457823</v>
      </c>
    </row>
    <row r="140" spans="4:11" ht="12.75">
      <c r="D140" s="4" t="s">
        <v>794</v>
      </c>
      <c r="E140" s="4">
        <v>2</v>
      </c>
      <c r="F140" s="4">
        <f>RDG!G20</f>
        <v>139</v>
      </c>
      <c r="G140" s="4" t="str">
        <f>IF(RDG!H20=0,"",RDG!H20)</f>
        <v>4.2</v>
      </c>
      <c r="H140" s="26">
        <f t="shared" si="6"/>
        <v>52172849.36</v>
      </c>
      <c r="I140" s="4">
        <f t="shared" si="7"/>
        <v>0</v>
      </c>
      <c r="J140" s="27">
        <f>RDG!I20</f>
        <v>11430504</v>
      </c>
      <c r="K140" s="27">
        <f>RDG!J20</f>
        <v>13051960</v>
      </c>
    </row>
    <row r="141" spans="4:11" ht="12.75">
      <c r="D141" s="4" t="s">
        <v>794</v>
      </c>
      <c r="E141" s="4">
        <v>2</v>
      </c>
      <c r="F141" s="4">
        <f>RDG!G21</f>
        <v>140</v>
      </c>
      <c r="G141" s="4">
        <f>IF(RDG!H21=0,"",RDG!H21)</f>
      </c>
      <c r="H141" s="26">
        <f t="shared" si="6"/>
        <v>33921307</v>
      </c>
      <c r="I141" s="4">
        <f t="shared" si="7"/>
        <v>0</v>
      </c>
      <c r="J141" s="27">
        <f>RDG!I21</f>
        <v>7470175</v>
      </c>
      <c r="K141" s="27">
        <f>RDG!J21</f>
        <v>8379665</v>
      </c>
    </row>
    <row r="142" spans="4:11" ht="12.75">
      <c r="D142" s="4" t="s">
        <v>794</v>
      </c>
      <c r="E142" s="4">
        <v>2</v>
      </c>
      <c r="F142" s="4">
        <f>RDG!G22</f>
        <v>141</v>
      </c>
      <c r="G142" s="4">
        <f>IF(RDG!H22=0,"",RDG!H22)</f>
      </c>
      <c r="H142" s="26">
        <f t="shared" si="6"/>
        <v>11768095.469999999</v>
      </c>
      <c r="I142" s="4">
        <f t="shared" si="7"/>
        <v>0</v>
      </c>
      <c r="J142" s="27">
        <f>RDG!I22</f>
        <v>2494007</v>
      </c>
      <c r="K142" s="27">
        <f>RDG!J22</f>
        <v>2926080</v>
      </c>
    </row>
    <row r="143" spans="4:11" ht="12.75">
      <c r="D143" s="4" t="s">
        <v>794</v>
      </c>
      <c r="E143" s="4">
        <v>2</v>
      </c>
      <c r="F143" s="4">
        <f>RDG!G23</f>
        <v>142</v>
      </c>
      <c r="G143" s="4">
        <f>IF(RDG!H23=0,"",RDG!H23)</f>
      </c>
      <c r="H143" s="26">
        <f t="shared" si="6"/>
        <v>7041427.840000001</v>
      </c>
      <c r="I143" s="4">
        <f t="shared" si="7"/>
        <v>0</v>
      </c>
      <c r="J143" s="27">
        <f>RDG!I23</f>
        <v>1466322</v>
      </c>
      <c r="K143" s="27">
        <f>RDG!J23</f>
        <v>1746215</v>
      </c>
    </row>
    <row r="144" spans="4:11" ht="12.75">
      <c r="D144" s="4" t="s">
        <v>794</v>
      </c>
      <c r="E144" s="4">
        <v>2</v>
      </c>
      <c r="F144" s="4">
        <f>RDG!G24</f>
        <v>143</v>
      </c>
      <c r="G144" s="4" t="str">
        <f>IF(RDG!H24=0,"",RDG!H24)</f>
        <v>4.3</v>
      </c>
      <c r="H144" s="26">
        <f t="shared" si="6"/>
        <v>108815779.92999999</v>
      </c>
      <c r="I144" s="4">
        <f t="shared" si="7"/>
        <v>0</v>
      </c>
      <c r="J144" s="27">
        <f>RDG!I24</f>
        <v>20274157</v>
      </c>
      <c r="K144" s="27">
        <f>RDG!J24</f>
        <v>27910397</v>
      </c>
    </row>
    <row r="145" spans="4:11" ht="12.75">
      <c r="D145" s="4" t="s">
        <v>794</v>
      </c>
      <c r="E145" s="4">
        <v>2</v>
      </c>
      <c r="F145" s="4">
        <f>RDG!G25</f>
        <v>144</v>
      </c>
      <c r="G145" s="4" t="str">
        <f>IF(RDG!H25=0,"",RDG!H25)</f>
        <v>4.4</v>
      </c>
      <c r="H145" s="26">
        <f t="shared" si="6"/>
        <v>9950365.44</v>
      </c>
      <c r="I145" s="4">
        <f t="shared" si="7"/>
        <v>0</v>
      </c>
      <c r="J145" s="27">
        <f>RDG!I25</f>
        <v>2055772</v>
      </c>
      <c r="K145" s="27">
        <f>RDG!J25</f>
        <v>2427102</v>
      </c>
    </row>
    <row r="146" spans="4:11" ht="12.75">
      <c r="D146" s="4" t="s">
        <v>794</v>
      </c>
      <c r="E146" s="4">
        <v>2</v>
      </c>
      <c r="F146" s="4">
        <f>RDG!G26</f>
        <v>145</v>
      </c>
      <c r="G146" s="4">
        <f>IF(RDG!H26=0,"",RDG!H26)</f>
      </c>
      <c r="H146" s="26">
        <f t="shared" si="6"/>
        <v>569645.55</v>
      </c>
      <c r="I146" s="4">
        <f t="shared" si="7"/>
        <v>0</v>
      </c>
      <c r="J146" s="27">
        <f>RDG!I26</f>
        <v>60149</v>
      </c>
      <c r="K146" s="27">
        <f>RDG!J26</f>
        <v>166355</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t="str">
        <f>IF(RDG!H28=0,"",RDG!H28)</f>
        <v>4.5</v>
      </c>
      <c r="H148" s="26">
        <f t="shared" si="6"/>
        <v>577502.73</v>
      </c>
      <c r="I148" s="4">
        <f t="shared" si="7"/>
        <v>0</v>
      </c>
      <c r="J148" s="27">
        <f>RDG!I28</f>
        <v>60149</v>
      </c>
      <c r="K148" s="27">
        <f>RDG!J28</f>
        <v>166355</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t="str">
        <f>IF(RDG!H36=0,"",RDG!H36)</f>
        <v>4.6</v>
      </c>
      <c r="H156" s="26">
        <f t="shared" si="6"/>
        <v>8398013.149999999</v>
      </c>
      <c r="I156" s="4">
        <f t="shared" si="7"/>
        <v>0</v>
      </c>
      <c r="J156" s="27">
        <f>RDG!I36</f>
        <v>2547291</v>
      </c>
      <c r="K156" s="27">
        <f>RDG!J36</f>
        <v>1435391</v>
      </c>
    </row>
    <row r="157" spans="4:11" ht="12.75">
      <c r="D157" s="4" t="s">
        <v>794</v>
      </c>
      <c r="E157" s="4">
        <v>2</v>
      </c>
      <c r="F157" s="4">
        <f>RDG!G37</f>
        <v>156</v>
      </c>
      <c r="G157" s="4" t="str">
        <f>IF(RDG!H37=0,"",RDG!H37)</f>
        <v>3</v>
      </c>
      <c r="H157" s="26">
        <f t="shared" si="6"/>
        <v>1282621.08</v>
      </c>
      <c r="I157" s="4">
        <f t="shared" si="7"/>
        <v>0</v>
      </c>
      <c r="J157" s="27">
        <f>RDG!I37</f>
        <v>368123</v>
      </c>
      <c r="K157" s="27">
        <f>RDG!J37</f>
        <v>227035</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1270448.08</v>
      </c>
      <c r="I164" s="4">
        <f t="shared" si="7"/>
        <v>0</v>
      </c>
      <c r="J164" s="27">
        <f>RDG!I44</f>
        <v>325346</v>
      </c>
      <c r="K164" s="27">
        <f>RDG!J44</f>
        <v>227035</v>
      </c>
    </row>
    <row r="165" spans="4:11" ht="12.75">
      <c r="D165" s="4" t="s">
        <v>794</v>
      </c>
      <c r="E165" s="4">
        <v>2</v>
      </c>
      <c r="F165" s="4">
        <f>RDG!G45</f>
        <v>164</v>
      </c>
      <c r="G165" s="4">
        <f>IF(RDG!H45=0,"",RDG!H45)</f>
      </c>
      <c r="H165" s="26">
        <f t="shared" si="6"/>
        <v>70154.28</v>
      </c>
      <c r="I165" s="4">
        <f t="shared" si="7"/>
        <v>0</v>
      </c>
      <c r="J165" s="27">
        <f>RDG!I45</f>
        <v>42777</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t="str">
        <f>IF(RDG!H48=0,"",RDG!H48)</f>
        <v>5</v>
      </c>
      <c r="H168" s="26">
        <f t="shared" si="6"/>
        <v>6945177.630000001</v>
      </c>
      <c r="I168" s="4">
        <f t="shared" si="7"/>
        <v>0</v>
      </c>
      <c r="J168" s="27">
        <f>RDG!I48</f>
        <v>1392969</v>
      </c>
      <c r="K168" s="27">
        <f>RDG!J48</f>
        <v>1382910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6959082.6</v>
      </c>
      <c r="I171" s="4">
        <f t="shared" si="7"/>
        <v>0</v>
      </c>
      <c r="J171" s="27">
        <f>RDG!I51</f>
        <v>1391208</v>
      </c>
      <c r="K171" s="27">
        <f>RDG!J51</f>
        <v>1351185</v>
      </c>
    </row>
    <row r="172" spans="4:11" ht="12.75">
      <c r="D172" s="4" t="s">
        <v>794</v>
      </c>
      <c r="E172" s="4">
        <v>2</v>
      </c>
      <c r="F172" s="4">
        <f>RDG!G52</f>
        <v>171</v>
      </c>
      <c r="G172" s="4">
        <f>IF(RDG!H52=0,"",RDG!H52)</f>
      </c>
      <c r="H172" s="26">
        <f t="shared" si="6"/>
        <v>111510.81</v>
      </c>
      <c r="I172" s="4">
        <f t="shared" si="7"/>
        <v>0</v>
      </c>
      <c r="J172" s="27">
        <f>RDG!I52</f>
        <v>1761</v>
      </c>
      <c r="K172" s="27">
        <f>RDG!J52</f>
        <v>31725</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346597132.57000005</v>
      </c>
      <c r="I180" s="4">
        <f t="shared" si="7"/>
        <v>0</v>
      </c>
      <c r="J180" s="27">
        <f>RDG!I60</f>
        <v>54948853</v>
      </c>
      <c r="K180" s="27">
        <f>RDG!J60</f>
        <v>69340415</v>
      </c>
    </row>
    <row r="181" spans="4:11" ht="12.75">
      <c r="D181" s="4" t="s">
        <v>794</v>
      </c>
      <c r="E181" s="4">
        <v>2</v>
      </c>
      <c r="F181" s="4">
        <f>RDG!G61</f>
        <v>180</v>
      </c>
      <c r="G181" s="4">
        <f>IF(RDG!H61=0,"",RDG!H61)</f>
      </c>
      <c r="H181" s="26">
        <f t="shared" si="6"/>
        <v>334637125.2</v>
      </c>
      <c r="I181" s="4">
        <f t="shared" si="7"/>
        <v>0</v>
      </c>
      <c r="J181" s="27">
        <f>RDG!I61</f>
        <v>54783400</v>
      </c>
      <c r="K181" s="27">
        <f>RDG!J61</f>
        <v>65563057</v>
      </c>
    </row>
    <row r="182" spans="4:11" ht="12.75">
      <c r="D182" s="4" t="s">
        <v>794</v>
      </c>
      <c r="E182" s="4">
        <v>2</v>
      </c>
      <c r="F182" s="4">
        <f>RDG!G62</f>
        <v>181</v>
      </c>
      <c r="G182" s="4">
        <f>IF(RDG!H62=0,"",RDG!H62)</f>
      </c>
      <c r="H182" s="26">
        <f t="shared" si="6"/>
        <v>13973505.89</v>
      </c>
      <c r="I182" s="4">
        <f t="shared" si="7"/>
        <v>0</v>
      </c>
      <c r="J182" s="27">
        <f>RDG!I62</f>
        <v>165453</v>
      </c>
      <c r="K182" s="27">
        <f>RDG!J62</f>
        <v>3777358</v>
      </c>
    </row>
    <row r="183" spans="4:11" ht="12.75">
      <c r="D183" s="4" t="s">
        <v>794</v>
      </c>
      <c r="E183" s="4">
        <v>2</v>
      </c>
      <c r="F183" s="4">
        <f>RDG!G63</f>
        <v>182</v>
      </c>
      <c r="G183" s="4" t="str">
        <f>IF(RDG!H63=0,"",RDG!H63)</f>
        <v>6</v>
      </c>
      <c r="H183" s="26">
        <f t="shared" si="6"/>
        <v>14050707.580000002</v>
      </c>
      <c r="I183" s="4">
        <f t="shared" si="7"/>
        <v>0</v>
      </c>
      <c r="J183" s="27">
        <f>RDG!I63</f>
        <v>165453</v>
      </c>
      <c r="K183" s="27">
        <f>RDG!J63</f>
        <v>3777358</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t="str">
        <f>IF(RDG!H65=0,"",RDG!H65)</f>
        <v>6</v>
      </c>
      <c r="H185" s="26">
        <f t="shared" si="6"/>
        <v>3140629.76</v>
      </c>
      <c r="I185" s="4">
        <f t="shared" si="7"/>
        <v>0</v>
      </c>
      <c r="J185" s="27">
        <f>RDG!I65</f>
        <v>0</v>
      </c>
      <c r="K185" s="27">
        <f>RDG!J65</f>
        <v>853432</v>
      </c>
    </row>
    <row r="186" spans="4:11" ht="12.75">
      <c r="D186" s="4" t="s">
        <v>794</v>
      </c>
      <c r="E186" s="4">
        <v>2</v>
      </c>
      <c r="F186" s="4">
        <f>RDG!G66</f>
        <v>185</v>
      </c>
      <c r="G186" s="4">
        <f>IF(RDG!H66=0,"",RDG!H66)</f>
      </c>
      <c r="H186" s="26">
        <f t="shared" si="6"/>
        <v>11124614.25</v>
      </c>
      <c r="I186" s="4">
        <f t="shared" si="7"/>
        <v>0</v>
      </c>
      <c r="J186" s="27">
        <f>RDG!I66</f>
        <v>165453</v>
      </c>
      <c r="K186" s="27">
        <f>RDG!J66</f>
        <v>2923926</v>
      </c>
    </row>
    <row r="187" spans="4:11" ht="12.75">
      <c r="D187" s="4" t="s">
        <v>794</v>
      </c>
      <c r="E187" s="4">
        <v>2</v>
      </c>
      <c r="F187" s="4">
        <f>RDG!G67</f>
        <v>186</v>
      </c>
      <c r="G187" s="4" t="str">
        <f>IF(RDG!H67=0,"",RDG!H67)</f>
        <v>6</v>
      </c>
      <c r="H187" s="26">
        <f t="shared" si="6"/>
        <v>11184747.299999999</v>
      </c>
      <c r="I187" s="4">
        <f t="shared" si="7"/>
        <v>0</v>
      </c>
      <c r="J187" s="27">
        <f>RDG!I67</f>
        <v>165453</v>
      </c>
      <c r="K187" s="27">
        <f>RDG!J67</f>
        <v>2923926</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77201.69</v>
      </c>
      <c r="I299" s="4">
        <f t="shared" si="17"/>
        <v>0</v>
      </c>
      <c r="J299" s="27">
        <f>NT_I!I9</f>
        <v>165453</v>
      </c>
      <c r="K299" s="27">
        <f>NT_I!J9</f>
        <v>3777358</v>
      </c>
    </row>
    <row r="300" spans="4:11" ht="12.75">
      <c r="D300" s="4" t="s">
        <v>556</v>
      </c>
      <c r="E300" s="4">
        <v>4</v>
      </c>
      <c r="F300" s="4">
        <f>NT_I!G10</f>
        <v>2</v>
      </c>
      <c r="G300" s="4">
        <f>IF(NT_I!H10&lt;&gt;"",NT_I!H10,"")</f>
      </c>
      <c r="H300" s="26">
        <f t="shared" si="16"/>
        <v>1596488.1</v>
      </c>
      <c r="I300" s="4">
        <f t="shared" si="17"/>
        <v>0</v>
      </c>
      <c r="J300" s="27">
        <f>NT_I!I10</f>
        <v>21359151</v>
      </c>
      <c r="K300" s="27">
        <f>NT_I!J10</f>
        <v>29232627</v>
      </c>
    </row>
    <row r="301" spans="4:11" ht="12.75">
      <c r="D301" s="4" t="s">
        <v>556</v>
      </c>
      <c r="E301" s="4">
        <v>4</v>
      </c>
      <c r="F301" s="4">
        <f>NT_I!G11</f>
        <v>3</v>
      </c>
      <c r="G301" s="4">
        <f>IF(NT_I!H11&lt;&gt;"",NT_I!H11,"")</f>
      </c>
      <c r="H301" s="26">
        <f t="shared" si="16"/>
        <v>2282848.53</v>
      </c>
      <c r="I301" s="4">
        <f t="shared" si="17"/>
        <v>0</v>
      </c>
      <c r="J301" s="27">
        <f>NT_I!I11</f>
        <v>20274157</v>
      </c>
      <c r="K301" s="27">
        <f>NT_I!J11</f>
        <v>27910397</v>
      </c>
    </row>
    <row r="302" spans="4:11" ht="12.75">
      <c r="D302" s="4" t="s">
        <v>556</v>
      </c>
      <c r="E302" s="4">
        <v>4</v>
      </c>
      <c r="F302" s="4">
        <f>NT_I!G12</f>
        <v>4</v>
      </c>
      <c r="G302" s="4">
        <f>IF(NT_I!H12&lt;&gt;"",NT_I!H12,"")</f>
      </c>
      <c r="H302" s="26">
        <f aca="true" t="shared" si="18" ref="H302:H340">J302/100*F302+2*K302/100*F302</f>
        <v>15714.36</v>
      </c>
      <c r="I302" s="4">
        <f aca="true" t="shared" si="19" ref="I302:I340">ABS(ROUND(J302,0)-J302)+ABS(ROUND(K302,0)-K302)</f>
        <v>0</v>
      </c>
      <c r="J302" s="27">
        <f>NT_I!I12</f>
        <v>60149</v>
      </c>
      <c r="K302" s="27">
        <f>NT_I!J12</f>
        <v>166355</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-46764.96</v>
      </c>
      <c r="I304" s="4">
        <f t="shared" si="19"/>
        <v>0</v>
      </c>
      <c r="J304" s="27">
        <f>NT_I!I14</f>
        <v>-325346</v>
      </c>
      <c r="K304" s="27">
        <f>NT_I!J14</f>
        <v>-227035</v>
      </c>
    </row>
    <row r="305" spans="4:11" ht="12.75">
      <c r="D305" s="4" t="s">
        <v>556</v>
      </c>
      <c r="E305" s="4">
        <v>4</v>
      </c>
      <c r="F305" s="4">
        <f>NT_I!G15</f>
        <v>7</v>
      </c>
      <c r="G305" s="4">
        <f>IF(NT_I!H15&lt;&gt;"",NT_I!H15,"")</f>
      </c>
      <c r="H305" s="26">
        <f t="shared" si="18"/>
        <v>286550.39</v>
      </c>
      <c r="I305" s="4">
        <f t="shared" si="19"/>
        <v>0</v>
      </c>
      <c r="J305" s="27">
        <f>NT_I!I15</f>
        <v>1391207</v>
      </c>
      <c r="K305" s="27">
        <f>NT_I!J15</f>
        <v>1351185</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2019.06</v>
      </c>
      <c r="I307" s="4">
        <f t="shared" si="19"/>
        <v>0</v>
      </c>
      <c r="J307" s="27">
        <f>NT_I!I17</f>
        <v>-41016</v>
      </c>
      <c r="K307" s="27">
        <f>NT_I!J17</f>
        <v>31725</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9629903.139999999</v>
      </c>
      <c r="I309" s="4">
        <f t="shared" si="19"/>
        <v>0</v>
      </c>
      <c r="J309" s="27">
        <f>NT_I!I19</f>
        <v>21524604</v>
      </c>
      <c r="K309" s="27">
        <f>NT_I!J19</f>
        <v>33009985</v>
      </c>
    </row>
    <row r="310" spans="4:11" ht="12.75">
      <c r="D310" s="4" t="s">
        <v>556</v>
      </c>
      <c r="E310" s="4">
        <v>4</v>
      </c>
      <c r="F310" s="4">
        <f>NT_I!G20</f>
        <v>12</v>
      </c>
      <c r="G310" s="4">
        <f>IF(NT_I!H20&lt;&gt;"",NT_I!H20,"")</f>
      </c>
      <c r="H310" s="26">
        <f t="shared" si="18"/>
        <v>-560845.56</v>
      </c>
      <c r="I310" s="4">
        <f t="shared" si="19"/>
        <v>0</v>
      </c>
      <c r="J310" s="27">
        <f>NT_I!I20</f>
        <v>6761721</v>
      </c>
      <c r="K310" s="27">
        <f>NT_I!J20</f>
        <v>-5717717</v>
      </c>
    </row>
    <row r="311" spans="4:11" ht="12.75">
      <c r="D311" s="4" t="s">
        <v>556</v>
      </c>
      <c r="E311" s="4">
        <v>4</v>
      </c>
      <c r="F311" s="4">
        <f>NT_I!G21</f>
        <v>13</v>
      </c>
      <c r="G311" s="4">
        <f>IF(NT_I!H21&lt;&gt;"",NT_I!H21,"")</f>
      </c>
      <c r="H311" s="26">
        <f t="shared" si="18"/>
        <v>-3613933.9599999995</v>
      </c>
      <c r="I311" s="4">
        <f t="shared" si="19"/>
        <v>0</v>
      </c>
      <c r="J311" s="27">
        <f>NT_I!I21</f>
        <v>-29723666</v>
      </c>
      <c r="K311" s="27">
        <f>NT_I!J21</f>
        <v>962087</v>
      </c>
    </row>
    <row r="312" spans="4:11" ht="12.75">
      <c r="D312" s="4" t="s">
        <v>556</v>
      </c>
      <c r="E312" s="4">
        <v>4</v>
      </c>
      <c r="F312" s="4">
        <f>NT_I!G22</f>
        <v>14</v>
      </c>
      <c r="G312" s="4">
        <f>IF(NT_I!H22&lt;&gt;"",NT_I!H22,"")</f>
      </c>
      <c r="H312" s="26">
        <f t="shared" si="18"/>
        <v>213436.44</v>
      </c>
      <c r="I312" s="4">
        <f t="shared" si="19"/>
        <v>0</v>
      </c>
      <c r="J312" s="27">
        <f>NT_I!I22</f>
        <v>2544370</v>
      </c>
      <c r="K312" s="27">
        <f>NT_I!J22</f>
        <v>-509912</v>
      </c>
    </row>
    <row r="313" spans="4:11" ht="12.75">
      <c r="D313" s="4" t="s">
        <v>556</v>
      </c>
      <c r="E313" s="4">
        <v>4</v>
      </c>
      <c r="F313" s="4">
        <f>NT_I!G23</f>
        <v>15</v>
      </c>
      <c r="G313" s="4">
        <f>IF(NT_I!H23&lt;&gt;"",NT_I!H23,"")</f>
      </c>
      <c r="H313" s="26">
        <f t="shared" si="18"/>
        <v>-342452.4</v>
      </c>
      <c r="I313" s="4">
        <f t="shared" si="19"/>
        <v>0</v>
      </c>
      <c r="J313" s="27">
        <f>NT_I!I23</f>
        <v>-3749460</v>
      </c>
      <c r="K313" s="27">
        <f>NT_I!J23</f>
        <v>733222</v>
      </c>
    </row>
    <row r="314" spans="4:11" ht="12.75">
      <c r="D314" s="4" t="s">
        <v>556</v>
      </c>
      <c r="E314" s="4">
        <v>4</v>
      </c>
      <c r="F314" s="4">
        <f>NT_I!G24</f>
        <v>16</v>
      </c>
      <c r="G314" s="4">
        <f>IF(NT_I!H24&lt;&gt;"",NT_I!H24,"")</f>
      </c>
      <c r="H314" s="26">
        <f t="shared" si="18"/>
        <v>3821479.8400000003</v>
      </c>
      <c r="I314" s="4">
        <f t="shared" si="19"/>
        <v>0</v>
      </c>
      <c r="J314" s="27">
        <f>NT_I!I24</f>
        <v>37690477</v>
      </c>
      <c r="K314" s="27">
        <f>NT_I!J24</f>
        <v>-6903114</v>
      </c>
    </row>
    <row r="315" spans="4:11" ht="12.75">
      <c r="D315" s="4" t="s">
        <v>556</v>
      </c>
      <c r="E315" s="4">
        <v>4</v>
      </c>
      <c r="F315" s="4">
        <f>NT_I!G25</f>
        <v>17</v>
      </c>
      <c r="G315" s="4">
        <f>IF(NT_I!H25&lt;&gt;"",NT_I!H25,"")</f>
      </c>
      <c r="H315" s="26">
        <f t="shared" si="18"/>
        <v>14088046.37</v>
      </c>
      <c r="I315" s="4">
        <f t="shared" si="19"/>
        <v>0</v>
      </c>
      <c r="J315" s="27">
        <f>NT_I!I25</f>
        <v>28286325</v>
      </c>
      <c r="K315" s="27">
        <f>NT_I!J25</f>
        <v>27292268</v>
      </c>
    </row>
    <row r="316" spans="4:11" ht="12.75">
      <c r="D316" s="4" t="s">
        <v>556</v>
      </c>
      <c r="E316" s="4">
        <v>4</v>
      </c>
      <c r="F316" s="4">
        <f>NT_I!G26</f>
        <v>18</v>
      </c>
      <c r="G316" s="4">
        <f>IF(NT_I!H26&lt;&gt;"",NT_I!H26,"")</f>
      </c>
      <c r="H316" s="26">
        <f t="shared" si="18"/>
        <v>-736843.8600000001</v>
      </c>
      <c r="I316" s="4">
        <f t="shared" si="19"/>
        <v>0</v>
      </c>
      <c r="J316" s="27">
        <f>NT_I!I26</f>
        <v>-1391207</v>
      </c>
      <c r="K316" s="27">
        <f>NT_I!J26</f>
        <v>-1351185</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15755456.799999999</v>
      </c>
      <c r="I318" s="4">
        <f t="shared" si="19"/>
        <v>0</v>
      </c>
      <c r="J318" s="27">
        <f>NT_I!I28</f>
        <v>26895118</v>
      </c>
      <c r="K318" s="27">
        <f>NT_I!J28</f>
        <v>25941083</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89842.59999999999</v>
      </c>
      <c r="I321" s="4">
        <f t="shared" si="19"/>
        <v>0</v>
      </c>
      <c r="J321" s="27">
        <f>NT_I!I32</f>
        <v>0</v>
      </c>
      <c r="K321" s="27">
        <f>NT_I!J32</f>
        <v>195310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46846952.1</v>
      </c>
      <c r="I324" s="4">
        <f t="shared" si="19"/>
        <v>0</v>
      </c>
      <c r="J324" s="27">
        <f>NT_I!I35</f>
        <v>114529423</v>
      </c>
      <c r="K324" s="27">
        <f>NT_I!J35</f>
        <v>32825581</v>
      </c>
    </row>
    <row r="325" spans="4:11" ht="12.75">
      <c r="D325" s="4" t="s">
        <v>556</v>
      </c>
      <c r="E325" s="4">
        <v>4</v>
      </c>
      <c r="F325" s="4">
        <f>NT_I!G36</f>
        <v>27</v>
      </c>
      <c r="G325" s="4">
        <f>IF(NT_I!H36&lt;&gt;"",NT_I!H36,"")</f>
      </c>
      <c r="H325" s="26">
        <f t="shared" si="18"/>
        <v>48754225.349999994</v>
      </c>
      <c r="I325" s="4">
        <f t="shared" si="19"/>
        <v>0</v>
      </c>
      <c r="J325" s="27">
        <f>NT_I!I36</f>
        <v>114529423</v>
      </c>
      <c r="K325" s="27">
        <f>NT_I!J36</f>
        <v>33020891</v>
      </c>
    </row>
    <row r="326" spans="4:11" ht="12.75">
      <c r="D326" s="4" t="s">
        <v>556</v>
      </c>
      <c r="E326" s="4">
        <v>4</v>
      </c>
      <c r="F326" s="4">
        <f>NT_I!G37</f>
        <v>28</v>
      </c>
      <c r="G326" s="4">
        <f>IF(NT_I!H37&lt;&gt;"",NT_I!H37,"")</f>
      </c>
      <c r="H326" s="26">
        <f t="shared" si="18"/>
        <v>-62926711.120000005</v>
      </c>
      <c r="I326" s="4">
        <f t="shared" si="19"/>
        <v>0</v>
      </c>
      <c r="J326" s="27">
        <f>NT_I!I37</f>
        <v>-125553060</v>
      </c>
      <c r="K326" s="27">
        <f>NT_I!J37</f>
        <v>-49592597</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-74163623.82000001</v>
      </c>
      <c r="I331" s="4">
        <f t="shared" si="19"/>
        <v>0</v>
      </c>
      <c r="J331" s="27">
        <f>NT_I!I42</f>
        <v>-125553060</v>
      </c>
      <c r="K331" s="27">
        <f>NT_I!J42</f>
        <v>-49592597</v>
      </c>
    </row>
    <row r="332" spans="4:11" ht="12.75">
      <c r="D332" s="4" t="s">
        <v>556</v>
      </c>
      <c r="E332" s="4">
        <v>4</v>
      </c>
      <c r="F332" s="4">
        <f>NT_I!G43</f>
        <v>34</v>
      </c>
      <c r="G332" s="4">
        <f>IF(NT_I!H43&lt;&gt;"",NT_I!H43,"")</f>
      </c>
      <c r="H332" s="26">
        <f t="shared" si="18"/>
        <v>-15016796.66</v>
      </c>
      <c r="I332" s="4">
        <f t="shared" si="19"/>
        <v>0</v>
      </c>
      <c r="J332" s="27">
        <f>NT_I!I43</f>
        <v>-11023637</v>
      </c>
      <c r="K332" s="27">
        <f>NT_I!J43</f>
        <v>-16571706</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6347719.63</v>
      </c>
      <c r="I335" s="4">
        <f t="shared" si="19"/>
        <v>0</v>
      </c>
      <c r="J335" s="27">
        <f>NT_I!I47</f>
        <v>12665161</v>
      </c>
      <c r="K335" s="27">
        <f>NT_I!J47</f>
        <v>2245419</v>
      </c>
    </row>
    <row r="336" spans="4:11" ht="12.75">
      <c r="D336" s="4" t="s">
        <v>556</v>
      </c>
      <c r="E336" s="4">
        <v>4</v>
      </c>
      <c r="F336" s="4">
        <f>NT_I!G48</f>
        <v>38</v>
      </c>
      <c r="G336" s="4">
        <f>IF(NT_I!H48&lt;&gt;"",NT_I!H48,"")</f>
      </c>
      <c r="H336" s="26">
        <f t="shared" si="18"/>
        <v>1448397.36</v>
      </c>
      <c r="I336" s="4">
        <f t="shared" si="19"/>
        <v>0</v>
      </c>
      <c r="J336" s="27">
        <f>NT_I!I48</f>
        <v>989168</v>
      </c>
      <c r="K336" s="27">
        <f>NT_I!J48</f>
        <v>1411202</v>
      </c>
    </row>
    <row r="337" spans="4:11" ht="12.75">
      <c r="D337" s="4" t="s">
        <v>556</v>
      </c>
      <c r="E337" s="4">
        <v>4</v>
      </c>
      <c r="F337" s="4">
        <f>NT_I!G49</f>
        <v>39</v>
      </c>
      <c r="G337" s="4">
        <f>IF(NT_I!H49&lt;&gt;"",NT_I!H49,"")</f>
      </c>
      <c r="H337" s="26">
        <f t="shared" si="18"/>
        <v>8177352.69</v>
      </c>
      <c r="I337" s="4">
        <f t="shared" si="19"/>
        <v>0</v>
      </c>
      <c r="J337" s="27">
        <f>NT_I!I49</f>
        <v>13654329</v>
      </c>
      <c r="K337" s="27">
        <f>NT_I!J49</f>
        <v>3656621</v>
      </c>
    </row>
    <row r="338" spans="4:11" ht="12.75">
      <c r="D338" s="4" t="s">
        <v>556</v>
      </c>
      <c r="E338" s="4">
        <v>4</v>
      </c>
      <c r="F338" s="4">
        <f>NT_I!G50</f>
        <v>40</v>
      </c>
      <c r="G338" s="4">
        <f>IF(NT_I!H50&lt;&gt;"",NT_I!H50,"")</f>
      </c>
      <c r="H338" s="26">
        <f t="shared" si="18"/>
        <v>-8941445.2</v>
      </c>
      <c r="I338" s="4">
        <f t="shared" si="19"/>
        <v>0</v>
      </c>
      <c r="J338" s="27">
        <f>NT_I!I50</f>
        <v>-13594825</v>
      </c>
      <c r="K338" s="27">
        <f>NT_I!J50</f>
        <v>-4379394</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-2360029.76</v>
      </c>
      <c r="I342" s="4">
        <f t="shared" si="21"/>
        <v>0</v>
      </c>
      <c r="J342" s="27">
        <f>NT_I!I54</f>
        <v>-1793336</v>
      </c>
      <c r="K342" s="27">
        <f>NT_I!J54</f>
        <v>-1785184</v>
      </c>
    </row>
    <row r="343" spans="4:11" ht="12.75">
      <c r="D343" s="4" t="s">
        <v>556</v>
      </c>
      <c r="E343" s="4">
        <v>4</v>
      </c>
      <c r="F343" s="4">
        <f>NT_I!G55</f>
        <v>45</v>
      </c>
      <c r="G343" s="4">
        <f>IF(NT_I!H55&lt;&gt;"",NT_I!H55,"")</f>
      </c>
      <c r="H343" s="26">
        <f t="shared" si="20"/>
        <v>-12472792.649999999</v>
      </c>
      <c r="I343" s="4">
        <f t="shared" si="21"/>
        <v>0</v>
      </c>
      <c r="J343" s="27">
        <f>NT_I!I55</f>
        <v>-15388161</v>
      </c>
      <c r="K343" s="27">
        <f>NT_I!J55</f>
        <v>-6164578</v>
      </c>
    </row>
    <row r="344" spans="4:11" ht="12.75">
      <c r="D344" s="4" t="s">
        <v>556</v>
      </c>
      <c r="E344" s="4">
        <v>4</v>
      </c>
      <c r="F344" s="4">
        <f>NT_I!G56</f>
        <v>46</v>
      </c>
      <c r="G344" s="4">
        <f>IF(NT_I!H56&lt;&gt;"",NT_I!H56,"")</f>
      </c>
      <c r="H344" s="26">
        <f t="shared" si="20"/>
        <v>-3104883.16</v>
      </c>
      <c r="I344" s="4">
        <f t="shared" si="21"/>
        <v>0</v>
      </c>
      <c r="J344" s="27">
        <f>NT_I!I56</f>
        <v>-1733832</v>
      </c>
      <c r="K344" s="27">
        <f>NT_I!J56</f>
        <v>-2507957</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13373034.719999999</v>
      </c>
      <c r="I346" s="4">
        <f t="shared" si="21"/>
        <v>0</v>
      </c>
      <c r="J346" s="27">
        <f>NT_I!I58</f>
        <v>14137649</v>
      </c>
      <c r="K346" s="27">
        <f>NT_I!J58</f>
        <v>6861420</v>
      </c>
    </row>
    <row r="347" spans="4:11" ht="12.75">
      <c r="D347" s="4" t="s">
        <v>556</v>
      </c>
      <c r="E347" s="4">
        <v>4</v>
      </c>
      <c r="F347" s="4">
        <f>NT_I!G59</f>
        <v>49</v>
      </c>
      <c r="G347" s="4">
        <f>IF(NT_I!H59&lt;&gt;"",NT_I!H59,"")</f>
      </c>
      <c r="H347" s="26">
        <f t="shared" si="20"/>
        <v>37246028.470000006</v>
      </c>
      <c r="I347" s="4">
        <f t="shared" si="21"/>
        <v>0</v>
      </c>
      <c r="J347" s="27">
        <f>NT_I!I59</f>
        <v>15912335</v>
      </c>
      <c r="K347" s="27">
        <f>NT_I!J59</f>
        <v>30049984</v>
      </c>
    </row>
    <row r="348" spans="4:11" ht="12.75">
      <c r="D348" s="4" t="s">
        <v>556</v>
      </c>
      <c r="E348" s="4">
        <v>4</v>
      </c>
      <c r="F348" s="4">
        <f>NT_I!G60</f>
        <v>50</v>
      </c>
      <c r="G348" s="4">
        <f>IF(NT_I!H60&lt;&gt;"",NT_I!H60,"")</f>
      </c>
      <c r="H348" s="26">
        <f t="shared" si="20"/>
        <v>51936396</v>
      </c>
      <c r="I348" s="4">
        <f t="shared" si="21"/>
        <v>0</v>
      </c>
      <c r="J348" s="27">
        <f>NT_I!I60</f>
        <v>30049984</v>
      </c>
      <c r="K348" s="27">
        <f>NT_I!J60</f>
        <v>36911404</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134819050.38</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322395200</v>
      </c>
      <c r="K393" s="27">
        <f>PK!J10</f>
        <v>56913352</v>
      </c>
      <c r="L393" s="27">
        <f>PK!K10</f>
        <v>0</v>
      </c>
      <c r="M393" s="27">
        <f>PK!L10</f>
        <v>0</v>
      </c>
      <c r="N393" s="27">
        <f>PK!M10</f>
        <v>0</v>
      </c>
      <c r="O393" s="27">
        <f>PK!N10</f>
        <v>0</v>
      </c>
      <c r="P393" s="27">
        <f>PK!O10</f>
        <v>859</v>
      </c>
      <c r="Q393" s="27">
        <f>PK!P10</f>
        <v>0</v>
      </c>
      <c r="R393" s="27">
        <f>PK!Q10</f>
        <v>0</v>
      </c>
      <c r="S393" s="27">
        <f>PK!R10</f>
        <v>0</v>
      </c>
      <c r="T393" s="27">
        <f>PK!S10</f>
        <v>0</v>
      </c>
      <c r="U393" s="27">
        <f>PK!T10</f>
        <v>0</v>
      </c>
      <c r="V393" s="27">
        <f>PK!U10</f>
        <v>0</v>
      </c>
      <c r="W393" s="27">
        <f>PK!V10</f>
        <v>4382932</v>
      </c>
      <c r="X393" s="27">
        <f>PK!W10</f>
        <v>-1249461</v>
      </c>
      <c r="Y393" s="27">
        <f>PK!X10</f>
        <v>382442882</v>
      </c>
      <c r="Z393" s="27">
        <f>PK!Y10</f>
        <v>0</v>
      </c>
      <c r="AA393" s="27">
        <f>PK!Z10</f>
        <v>382442882</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-1866170.88</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-3887856</v>
      </c>
      <c r="X395" s="27">
        <f>PK!W12</f>
        <v>0</v>
      </c>
      <c r="Y395" s="27">
        <f>PK!X12</f>
        <v>-3887856</v>
      </c>
      <c r="Z395" s="27">
        <f>PK!Y12</f>
        <v>0</v>
      </c>
      <c r="AA395" s="27">
        <f>PK!Z12</f>
        <v>-3887856</v>
      </c>
    </row>
    <row r="396" spans="4:27" ht="12.75">
      <c r="D396" s="4" t="s">
        <v>795</v>
      </c>
      <c r="E396" s="4">
        <v>6</v>
      </c>
      <c r="F396" s="4">
        <f>PK!G13</f>
        <v>4</v>
      </c>
      <c r="G396" s="4">
        <f>IF(PK!H13&lt;&gt;"",PK!H13,"")</f>
      </c>
      <c r="H396" s="26">
        <f t="shared" si="24"/>
        <v>146039536.62</v>
      </c>
      <c r="I396" s="27">
        <f t="shared" si="25"/>
        <v>0</v>
      </c>
      <c r="J396" s="27">
        <f>PK!I13</f>
        <v>322395200</v>
      </c>
      <c r="K396" s="27">
        <f>PK!J13</f>
        <v>56913352</v>
      </c>
      <c r="L396" s="27">
        <f>PK!K13</f>
        <v>0</v>
      </c>
      <c r="M396" s="27">
        <f>PK!L13</f>
        <v>0</v>
      </c>
      <c r="N396" s="27">
        <f>PK!M13</f>
        <v>0</v>
      </c>
      <c r="O396" s="27">
        <f>PK!N13</f>
        <v>0</v>
      </c>
      <c r="P396" s="27">
        <f>PK!O13</f>
        <v>859</v>
      </c>
      <c r="Q396" s="27">
        <f>PK!P13</f>
        <v>0</v>
      </c>
      <c r="R396" s="27">
        <f>PK!Q13</f>
        <v>0</v>
      </c>
      <c r="S396" s="27">
        <f>PK!R13</f>
        <v>0</v>
      </c>
      <c r="T396" s="27">
        <f>PK!S13</f>
        <v>0</v>
      </c>
      <c r="U396" s="27">
        <f>PK!T13</f>
        <v>0</v>
      </c>
      <c r="V396" s="27">
        <f>PK!U13</f>
        <v>0</v>
      </c>
      <c r="W396" s="27">
        <f>PK!V13</f>
        <v>495076</v>
      </c>
      <c r="X396" s="27">
        <f>PK!W13</f>
        <v>-1249461</v>
      </c>
      <c r="Y396" s="27">
        <f>PK!X13</f>
        <v>378555026</v>
      </c>
      <c r="Z396" s="27">
        <f>PK!Y13</f>
        <v>0</v>
      </c>
      <c r="AA396" s="27">
        <f>PK!Z13</f>
        <v>378555026</v>
      </c>
    </row>
    <row r="397" spans="4:27" ht="12.75">
      <c r="D397" s="4" t="s">
        <v>795</v>
      </c>
      <c r="E397" s="4">
        <v>6</v>
      </c>
      <c r="F397" s="4">
        <f>PK!G14</f>
        <v>5</v>
      </c>
      <c r="G397" s="4">
        <f>IF(PK!H14&lt;&gt;"",PK!H14,"")</f>
      </c>
      <c r="H397" s="26">
        <f t="shared" si="24"/>
        <v>81071.97</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165453</v>
      </c>
      <c r="Y397" s="27">
        <f>PK!X14</f>
        <v>165453</v>
      </c>
      <c r="Z397" s="27">
        <f>PK!Y14</f>
        <v>0</v>
      </c>
      <c r="AA397" s="27">
        <f>PK!Z14</f>
        <v>165453</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1585757.4000000001</v>
      </c>
      <c r="I405" s="27">
        <f t="shared" si="25"/>
        <v>0</v>
      </c>
      <c r="J405" s="27">
        <f>PK!I22</f>
        <v>0</v>
      </c>
      <c r="K405" s="27">
        <f>PK!J22</f>
        <v>2642929</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2642929</v>
      </c>
      <c r="Z405" s="27">
        <f>PK!Y22</f>
        <v>0</v>
      </c>
      <c r="AA405" s="27">
        <f>PK!Z22</f>
        <v>2642929</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29716054.950000003</v>
      </c>
      <c r="I411" s="27">
        <f t="shared" si="25"/>
        <v>0</v>
      </c>
      <c r="J411" s="27">
        <f>PK!I28</f>
        <v>56067800</v>
      </c>
      <c r="K411" s="27">
        <f>PK!J28</f>
        <v>0</v>
      </c>
      <c r="L411" s="27">
        <f>PK!K28</f>
        <v>0</v>
      </c>
      <c r="M411" s="27">
        <f>PK!L28</f>
        <v>0</v>
      </c>
      <c r="N411" s="27">
        <f>PK!M28</f>
        <v>0</v>
      </c>
      <c r="O411" s="27">
        <f>PK!N28</f>
        <v>0</v>
      </c>
      <c r="P411" s="27">
        <f>PK!O28</f>
        <v>295</v>
      </c>
      <c r="Q411" s="27">
        <f>PK!P28</f>
        <v>0</v>
      </c>
      <c r="R411" s="27">
        <f>PK!Q28</f>
        <v>0</v>
      </c>
      <c r="S411" s="27">
        <f>PK!R28</f>
        <v>0</v>
      </c>
      <c r="T411" s="27">
        <f>PK!S28</f>
        <v>0</v>
      </c>
      <c r="U411" s="27">
        <f>PK!T28</f>
        <v>0</v>
      </c>
      <c r="V411" s="27">
        <f>PK!U28</f>
        <v>0</v>
      </c>
      <c r="W411" s="27">
        <f>PK!V28</f>
        <v>0</v>
      </c>
      <c r="X411" s="27">
        <f>PK!W28</f>
        <v>0</v>
      </c>
      <c r="Y411" s="27">
        <f>PK!X28</f>
        <v>56068095</v>
      </c>
      <c r="Z411" s="27">
        <f>PK!Y28</f>
        <v>0</v>
      </c>
      <c r="AA411" s="27">
        <f>PK!Z28</f>
        <v>56068095</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-44379919.95</v>
      </c>
      <c r="I414" s="27">
        <f t="shared" si="25"/>
        <v>0</v>
      </c>
      <c r="J414" s="27">
        <f>PK!I31</f>
        <v>0</v>
      </c>
      <c r="K414" s="27">
        <f>PK!J31</f>
        <v>-56913352</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-1249461</v>
      </c>
      <c r="X414" s="27">
        <f>PK!W31</f>
        <v>1249461</v>
      </c>
      <c r="Y414" s="27">
        <f>PK!X31</f>
        <v>-56913352</v>
      </c>
      <c r="Z414" s="27">
        <f>PK!Y31</f>
        <v>0</v>
      </c>
      <c r="AA414" s="27">
        <f>PK!Z31</f>
        <v>-56913352</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221395182.09</v>
      </c>
      <c r="I416" s="27">
        <f t="shared" si="25"/>
        <v>0</v>
      </c>
      <c r="J416" s="27">
        <f>PK!I33</f>
        <v>378463000</v>
      </c>
      <c r="K416" s="27">
        <f>PK!J33</f>
        <v>2642929</v>
      </c>
      <c r="L416" s="27">
        <f>PK!K33</f>
        <v>0</v>
      </c>
      <c r="M416" s="27">
        <f>PK!L33</f>
        <v>0</v>
      </c>
      <c r="N416" s="27">
        <f>PK!M33</f>
        <v>0</v>
      </c>
      <c r="O416" s="27">
        <f>PK!N33</f>
        <v>0</v>
      </c>
      <c r="P416" s="27">
        <f>PK!O33</f>
        <v>1154</v>
      </c>
      <c r="Q416" s="27">
        <f>PK!P33</f>
        <v>0</v>
      </c>
      <c r="R416" s="27">
        <f>PK!Q33</f>
        <v>0</v>
      </c>
      <c r="S416" s="27">
        <f>PK!R33</f>
        <v>0</v>
      </c>
      <c r="T416" s="27">
        <f>PK!S33</f>
        <v>0</v>
      </c>
      <c r="U416" s="27">
        <f>PK!T33</f>
        <v>0</v>
      </c>
      <c r="V416" s="27">
        <f>PK!U33</f>
        <v>0</v>
      </c>
      <c r="W416" s="27">
        <f>PK!V33</f>
        <v>-754385</v>
      </c>
      <c r="X416" s="27">
        <f>PK!W33</f>
        <v>165453</v>
      </c>
      <c r="Y416" s="27">
        <f>PK!X33</f>
        <v>380518151</v>
      </c>
      <c r="Z416" s="27">
        <f>PK!Y33</f>
        <v>0</v>
      </c>
      <c r="AA416" s="27">
        <f>PK!Z33</f>
        <v>380518151</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236745136.41</v>
      </c>
      <c r="I420" s="27">
        <f t="shared" si="25"/>
        <v>0</v>
      </c>
      <c r="J420" s="27">
        <f>PK!I39</f>
        <v>378463000</v>
      </c>
      <c r="K420" s="27">
        <f>PK!J39</f>
        <v>2642929</v>
      </c>
      <c r="L420" s="27">
        <f>PK!K39</f>
        <v>0</v>
      </c>
      <c r="M420" s="27">
        <f>PK!L39</f>
        <v>0</v>
      </c>
      <c r="N420" s="27">
        <f>PK!M39</f>
        <v>0</v>
      </c>
      <c r="O420" s="27">
        <f>PK!N39</f>
        <v>0</v>
      </c>
      <c r="P420" s="27">
        <f>PK!O39</f>
        <v>1154</v>
      </c>
      <c r="Q420" s="27">
        <f>PK!P39</f>
        <v>0</v>
      </c>
      <c r="R420" s="27">
        <f>PK!Q39</f>
        <v>0</v>
      </c>
      <c r="S420" s="27">
        <f>PK!R39</f>
        <v>0</v>
      </c>
      <c r="T420" s="27">
        <f>PK!S39</f>
        <v>0</v>
      </c>
      <c r="U420" s="27">
        <f>PK!T39</f>
        <v>0</v>
      </c>
      <c r="V420" s="27">
        <f>PK!U39</f>
        <v>0</v>
      </c>
      <c r="W420" s="27">
        <f>PK!V39</f>
        <v>-754385</v>
      </c>
      <c r="X420" s="27">
        <f>PK!W39</f>
        <v>165453</v>
      </c>
      <c r="Y420" s="27">
        <f>PK!X39</f>
        <v>380518151</v>
      </c>
      <c r="Z420" s="27">
        <f>PK!Y39</f>
        <v>0</v>
      </c>
      <c r="AA420" s="27">
        <f>PK!Z39</f>
        <v>380518151</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248257602.15</v>
      </c>
      <c r="I423" s="27">
        <f t="shared" si="25"/>
        <v>0</v>
      </c>
      <c r="J423" s="27">
        <f>PK!I42</f>
        <v>378463000</v>
      </c>
      <c r="K423" s="27">
        <f>PK!J42</f>
        <v>2642929</v>
      </c>
      <c r="L423" s="27">
        <f>PK!K42</f>
        <v>0</v>
      </c>
      <c r="M423" s="27">
        <f>PK!L42</f>
        <v>0</v>
      </c>
      <c r="N423" s="27">
        <f>PK!M42</f>
        <v>0</v>
      </c>
      <c r="O423" s="27">
        <f>PK!N42</f>
        <v>0</v>
      </c>
      <c r="P423" s="27">
        <f>PK!O42</f>
        <v>1154</v>
      </c>
      <c r="Q423" s="27">
        <f>PK!P42</f>
        <v>0</v>
      </c>
      <c r="R423" s="27">
        <f>PK!Q42</f>
        <v>0</v>
      </c>
      <c r="S423" s="27">
        <f>PK!R42</f>
        <v>0</v>
      </c>
      <c r="T423" s="27">
        <f>PK!S42</f>
        <v>0</v>
      </c>
      <c r="U423" s="27">
        <f>PK!T42</f>
        <v>0</v>
      </c>
      <c r="V423" s="27">
        <f>PK!U42</f>
        <v>0</v>
      </c>
      <c r="W423" s="27">
        <f>PK!V42</f>
        <v>-754385</v>
      </c>
      <c r="X423" s="27">
        <f>PK!W42</f>
        <v>165453</v>
      </c>
      <c r="Y423" s="27">
        <f>PK!X42</f>
        <v>380518151</v>
      </c>
      <c r="Z423" s="27">
        <f>PK!Y42</f>
        <v>0</v>
      </c>
      <c r="AA423" s="27">
        <f>PK!Z42</f>
        <v>380518151</v>
      </c>
    </row>
    <row r="424" spans="4:27" ht="12.75">
      <c r="D424" s="4" t="s">
        <v>795</v>
      </c>
      <c r="E424" s="4">
        <v>6</v>
      </c>
      <c r="F424" s="4">
        <f>PK!G43</f>
        <v>32</v>
      </c>
      <c r="G424" s="4">
        <f>IF(PK!H43&lt;&gt;"",PK!H43,"")</f>
      </c>
      <c r="H424" s="26">
        <f t="shared" si="24"/>
        <v>1432723.7400000002</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2923926</v>
      </c>
      <c r="Y424" s="27">
        <f>PK!X43</f>
        <v>2923926</v>
      </c>
      <c r="Z424" s="27">
        <f>PK!Y43</f>
        <v>0</v>
      </c>
      <c r="AA424" s="27">
        <f>PK!Z43</f>
        <v>2923926</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887458.08</v>
      </c>
      <c r="I432" s="27">
        <f t="shared" si="25"/>
        <v>0</v>
      </c>
      <c r="J432" s="27">
        <f>PK!I51</f>
        <v>0</v>
      </c>
      <c r="K432" s="27">
        <f>PK!J51</f>
        <v>778472</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778472</v>
      </c>
      <c r="Z432" s="27">
        <f>PK!Y51</f>
        <v>0</v>
      </c>
      <c r="AA432" s="27">
        <f>PK!Z51</f>
        <v>778472</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-1654.5300000000025</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165453</v>
      </c>
      <c r="X441" s="27">
        <f>PK!W60</f>
        <v>-165453</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327497164.88</v>
      </c>
      <c r="I443" s="27">
        <f t="shared" si="25"/>
        <v>0</v>
      </c>
      <c r="J443" s="27">
        <f>PK!I62</f>
        <v>378463000</v>
      </c>
      <c r="K443" s="27">
        <f>PK!J62</f>
        <v>3421401</v>
      </c>
      <c r="L443" s="27">
        <f>PK!K62</f>
        <v>0</v>
      </c>
      <c r="M443" s="27">
        <f>PK!L62</f>
        <v>0</v>
      </c>
      <c r="N443" s="27">
        <f>PK!M62</f>
        <v>0</v>
      </c>
      <c r="O443" s="27">
        <f>PK!N62</f>
        <v>0</v>
      </c>
      <c r="P443" s="27">
        <f>PK!O62</f>
        <v>1154</v>
      </c>
      <c r="Q443" s="27">
        <f>PK!P62</f>
        <v>0</v>
      </c>
      <c r="R443" s="27">
        <f>PK!Q62</f>
        <v>0</v>
      </c>
      <c r="S443" s="27">
        <f>PK!R62</f>
        <v>0</v>
      </c>
      <c r="T443" s="27">
        <f>PK!S62</f>
        <v>0</v>
      </c>
      <c r="U443" s="27">
        <f>PK!T62</f>
        <v>0</v>
      </c>
      <c r="V443" s="27">
        <f>PK!U62</f>
        <v>0</v>
      </c>
      <c r="W443" s="27">
        <f>PK!V62</f>
        <v>-588932</v>
      </c>
      <c r="X443" s="27">
        <f>PK!W62</f>
        <v>2923926</v>
      </c>
      <c r="Y443" s="27">
        <f>PK!X62</f>
        <v>384220549</v>
      </c>
      <c r="Z443" s="27">
        <f>PK!Y62</f>
        <v>0</v>
      </c>
      <c r="AA443" s="27">
        <f>PK!Z62</f>
        <v>384220549</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05" activePane="bottomLeft" state="frozen"/>
      <selection pane="topLeft" activeCell="A2" sqref="A2"/>
      <selection pane="bottomLeft" activeCell="C81" sqref="C81:J8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PONIKVE VODA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3</v>
      </c>
      <c r="T3" s="206" t="s">
        <v>614</v>
      </c>
      <c r="U3" s="224" t="str">
        <f>RefStr!L21</f>
        <v>89015118914</v>
      </c>
      <c r="V3" s="206" t="s">
        <v>2736</v>
      </c>
      <c r="W3" s="224">
        <f>RefStr!C31</f>
        <v>51500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64125437677</v>
      </c>
      <c r="V4" s="206" t="s">
        <v>2737</v>
      </c>
      <c r="W4" s="224" t="str">
        <f>RefStr!F31</f>
        <v>Krk</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1</v>
      </c>
      <c r="P5" s="207">
        <f>NT_I!Q2</f>
        <v>1</v>
      </c>
      <c r="Q5" s="224">
        <f>NT_I!Q3</f>
        <v>1</v>
      </c>
      <c r="R5" s="206" t="s">
        <v>2888</v>
      </c>
      <c r="S5" s="224">
        <f>IF(RefStr!C19&lt;&gt;"",IF(ISERROR(INT(RefStr!C19)),0,RefStr!C19),0)</f>
        <v>2</v>
      </c>
      <c r="T5" s="206" t="s">
        <v>1560</v>
      </c>
      <c r="U5" s="224" t="str">
        <f>RefStr!H27</f>
        <v>03292525</v>
      </c>
      <c r="V5" s="206" t="s">
        <v>2738</v>
      </c>
      <c r="W5" s="224" t="str">
        <f>RefStr!C33</f>
        <v>Vršanska 14</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040033437</v>
      </c>
      <c r="V6" s="206" t="s">
        <v>2968</v>
      </c>
      <c r="W6" s="224" t="str">
        <f>RefStr!L35</f>
        <v>051654620</v>
      </c>
      <c r="X6" s="206" t="s">
        <v>2926</v>
      </c>
      <c r="Y6" s="224" t="str">
        <f>RefStr!C68</f>
        <v>Zvjezdana Ponoš</v>
      </c>
      <c r="Z6" s="206" t="s">
        <v>2952</v>
      </c>
      <c r="AA6" s="224">
        <f>RefStr!C46</f>
        <v>0</v>
      </c>
    </row>
    <row r="7" spans="1:27" ht="13.5" customHeight="1">
      <c r="A7" s="504"/>
      <c r="B7" s="505"/>
      <c r="C7" s="505"/>
      <c r="D7" s="505"/>
      <c r="E7" s="505"/>
      <c r="F7" s="505"/>
      <c r="G7" s="505"/>
      <c r="H7" s="505"/>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1</v>
      </c>
      <c r="V7" s="206" t="s">
        <v>2884</v>
      </c>
      <c r="W7" s="224" t="str">
        <f>TRIM(UPPER(RefStr!C35))</f>
        <v>PONIKVE@PONIKVE.HR</v>
      </c>
      <c r="X7" s="206" t="s">
        <v>2927</v>
      </c>
      <c r="Y7" s="224" t="str">
        <f>RefStr!C70</f>
        <v>051654620</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3600</v>
      </c>
      <c r="X8" s="206" t="s">
        <v>2928</v>
      </c>
      <c r="Y8" s="224" t="str">
        <f>TRIM(UPPER(RefStr!C72))</f>
        <v>ZVJEZDANA.PONOS@PONIKVE.HR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93</v>
      </c>
      <c r="Q9" s="223">
        <f>RefStr!F58</f>
        <v>95</v>
      </c>
      <c r="R9" s="206" t="s">
        <v>914</v>
      </c>
      <c r="S9" s="224">
        <f>IF(RefStr!F4&lt;&gt;"",RefStr!F4,0)</f>
        <v>44926</v>
      </c>
      <c r="T9" s="206" t="s">
        <v>891</v>
      </c>
      <c r="U9" s="224">
        <f>RefStr!C39</f>
        <v>215</v>
      </c>
      <c r="V9" s="206" t="s">
        <v>2951</v>
      </c>
      <c r="W9" s="224" t="str">
        <f>RefStr!D42</f>
        <v>Skupljanje, pročišćavanje i opskrba vo...</v>
      </c>
      <c r="X9" s="230" t="s">
        <v>1782</v>
      </c>
      <c r="Y9" s="231" t="str">
        <f>RefStr!I66</f>
        <v>DA</v>
      </c>
      <c r="Z9" s="228" t="s">
        <v>1781</v>
      </c>
      <c r="AA9" s="229" t="str">
        <f>RefStr!I64</f>
        <v>DA</v>
      </c>
    </row>
    <row r="10" spans="1:27" ht="13.5" customHeight="1">
      <c r="A10" s="498"/>
      <c r="B10" s="498"/>
      <c r="C10" s="498"/>
      <c r="D10" s="498"/>
      <c r="E10" s="498"/>
      <c r="F10" s="498"/>
      <c r="G10" s="498"/>
      <c r="H10" s="498"/>
      <c r="I10" s="498"/>
      <c r="J10" s="498"/>
      <c r="L10" s="190"/>
      <c r="M10" s="190"/>
      <c r="O10" s="222" t="s">
        <v>1998</v>
      </c>
      <c r="P10" s="208">
        <f>RefStr!C56</f>
        <v>90</v>
      </c>
      <c r="Q10" s="225">
        <f>RefStr!F56</f>
        <v>93</v>
      </c>
      <c r="R10" s="208" t="s">
        <v>917</v>
      </c>
      <c r="S10" s="225">
        <f>RefStr!C23</f>
        <v>1</v>
      </c>
      <c r="T10" s="208" t="s">
        <v>2973</v>
      </c>
      <c r="U10" s="225" t="str">
        <f>RefStr!D39</f>
        <v>Krk</v>
      </c>
      <c r="V10" s="232"/>
      <c r="W10" s="233"/>
      <c r="X10" s="234" t="s">
        <v>2279</v>
      </c>
      <c r="Y10" s="235">
        <f>RefStr!F12</f>
        <v>2022</v>
      </c>
      <c r="Z10" s="208" t="s">
        <v>1771</v>
      </c>
      <c r="AA10" s="225" t="str">
        <f>RefStr!A75</f>
        <v>Neven Hržić srt.spec.ing.građ.</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1</v>
      </c>
      <c r="X50" s="196" t="s">
        <v>2257</v>
      </c>
      <c r="Y50" s="196">
        <f>IF(Bilanca!I73&gt;150000000,1,0)</f>
        <v>1</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C:\Users\Zvjezdana.LOCAL\Desktop\voda 2022\[GFI-POD-2022.xls]Dodatni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85" zoomScaleNormal="85" zoomScalePageLayoutView="0" workbookViewId="0" topLeftCell="A1">
      <pane ySplit="3" topLeftCell="A37" activePane="bottomLeft" state="frozen"/>
      <selection pane="topLeft" activeCell="A59" sqref="A59:F59"/>
      <selection pane="bottomLeft" activeCell="I21" sqref="I2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329252.5</v>
      </c>
    </row>
    <row r="13" spans="4:17" ht="9.75" customHeight="1">
      <c r="D13" s="152"/>
      <c r="E13" s="158"/>
      <c r="H13" s="23"/>
      <c r="I13" s="159"/>
      <c r="J13" s="159"/>
      <c r="K13" s="152"/>
      <c r="L13" s="152"/>
      <c r="M13" s="152"/>
      <c r="N13" s="152"/>
      <c r="P13" s="50" t="s">
        <v>1561</v>
      </c>
      <c r="Q13" s="51">
        <f>INT(VALUE(M27))/50</f>
        <v>800668.74</v>
      </c>
    </row>
    <row r="14" spans="1:17" ht="15">
      <c r="A14" s="289" t="s">
        <v>1312</v>
      </c>
      <c r="B14" s="289"/>
      <c r="C14" s="289"/>
      <c r="D14" s="160"/>
      <c r="E14" s="161"/>
      <c r="F14" s="287"/>
      <c r="G14" s="288"/>
      <c r="H14" s="288"/>
      <c r="I14" s="152"/>
      <c r="J14" s="310" t="s">
        <v>1978</v>
      </c>
      <c r="K14" s="311"/>
      <c r="L14" s="311"/>
      <c r="M14" s="311"/>
      <c r="N14" s="311"/>
      <c r="P14" s="50" t="s">
        <v>1316</v>
      </c>
      <c r="Q14" s="51">
        <f>INT(VALUE(C27))/100</f>
        <v>641254376.77</v>
      </c>
    </row>
    <row r="15" spans="1:17" ht="19.5" customHeight="1">
      <c r="A15" s="307">
        <f>Skriveni!B59</f>
        <v>15993544870.529999</v>
      </c>
      <c r="B15" s="308"/>
      <c r="C15" s="309"/>
      <c r="D15" s="56"/>
      <c r="E15" s="56"/>
      <c r="F15" s="56"/>
      <c r="G15" s="56"/>
      <c r="H15" s="56"/>
      <c r="I15" s="56"/>
      <c r="J15" s="56"/>
      <c r="K15" s="56"/>
      <c r="L15" s="56"/>
      <c r="M15" s="56"/>
      <c r="N15" s="56"/>
      <c r="P15" s="50" t="s">
        <v>887</v>
      </c>
      <c r="Q15" s="51">
        <f>LEN(Skriveni!B9)</f>
        <v>19</v>
      </c>
    </row>
    <row r="16" spans="4:17" ht="12.75" customHeight="1">
      <c r="D16" s="56"/>
      <c r="E16" s="56"/>
      <c r="F16" s="56"/>
      <c r="G16" s="56"/>
      <c r="H16" s="56"/>
      <c r="I16" s="56"/>
      <c r="P16" s="50" t="s">
        <v>888</v>
      </c>
      <c r="Q16" s="51">
        <f>INT(VALUE(C31))/100</f>
        <v>515</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3</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2982</v>
      </c>
      <c r="P19" s="50" t="s">
        <v>890</v>
      </c>
      <c r="Q19" s="51">
        <f>LEN(Skriveni!B12)</f>
        <v>11</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2994</v>
      </c>
      <c r="M21" s="283"/>
      <c r="N21" s="284"/>
      <c r="P21" s="50" t="s">
        <v>891</v>
      </c>
      <c r="Q21" s="51">
        <f>INT(VALUE(C39))</f>
        <v>215</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3600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51500</v>
      </c>
      <c r="D31" s="343" t="s">
        <v>929</v>
      </c>
      <c r="E31" s="344"/>
      <c r="F31" s="345" t="s">
        <v>1753</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2989</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2990</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215</v>
      </c>
      <c r="D39" s="358" t="str">
        <f>IF(C39="","Upišite šifru grada/općine",IF(ISNA(LOOKUP(C39,A177:A732,A177:A732)),"Šifra grada/općine ne postoji",IF(LOOKUP(C39,A177:A732,A177:A732)&lt;&gt;C39,"Šifra grada/općine ne postoji",LOOKUP(C39,A177:A732,B177:B732))))</f>
        <v>Krk</v>
      </c>
      <c r="E39" s="359"/>
      <c r="F39" s="359"/>
      <c r="G39" s="359"/>
      <c r="H39" s="279" t="s">
        <v>2109</v>
      </c>
      <c r="I39" s="280"/>
      <c r="J39" s="54">
        <f>IF(C39&gt;0,LOOKUP(C39,A177:A732,C177:C732),"")</f>
        <v>8</v>
      </c>
      <c r="K39" s="350" t="str">
        <f>IF(J39="","Upišite šifru grada/općine",LOOKUP(J39,A153:A173,B153:B173))</f>
        <v>PRIMORSKO-GORANSKA</v>
      </c>
      <c r="L39" s="350"/>
      <c r="M39" s="350"/>
      <c r="N39" s="350"/>
      <c r="P39" s="50" t="s">
        <v>896</v>
      </c>
      <c r="Q39" s="51">
        <f>C56+2*F56+3*C58+4*F58</f>
        <v>935</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2347</v>
      </c>
      <c r="D42" s="356" t="str">
        <f>IF(C42="","Upišite šifru razreda glavne djelatnosti",IF(ISNA(LOOKUP(C42,A736:A1351,A736:A1351)),"Šifra NKD-a ne postoji",IF(LOOKUP(C42,A736:A1351,A736:A1351)&lt;&gt;C42,"Šifra NKD-a ne postoji",LOOKUP(C42,A736:A1351,B736:B1351))))</f>
        <v>Skupljanje, pročišćavanje i opskrba vo...</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30</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890151189.14</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3</v>
      </c>
      <c r="D50" s="379" t="str">
        <f>IF(C50="","Upišite oznaku veličine",IF(ISNA(LOOKUP(C50,A124:A127,A124:A127)),"Nepostojeća oznaka veličine",IF(LOOKUP(C50,A124:A127,A124:A127)&lt;&gt;C50,"Nepostojeća oznaka veličine",LOOKUP(C50,A124:A127,B124:B127))))</f>
        <v>Srednji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90</v>
      </c>
      <c r="D56" s="272" t="s">
        <v>2653</v>
      </c>
      <c r="E56" s="362"/>
      <c r="F56" s="40">
        <v>93</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93</v>
      </c>
      <c r="D58" s="354" t="s">
        <v>2653</v>
      </c>
      <c r="E58" s="354"/>
      <c r="F58" s="40">
        <v>95</v>
      </c>
      <c r="G58" s="354" t="s">
        <v>2654</v>
      </c>
      <c r="H58" s="354"/>
      <c r="I58" s="5" t="str">
        <f>IF(OR(NT_I!Q1&lt;&gt;0,NT_D!Q1&lt;&gt;0),"DA","NE")</f>
        <v>DA</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DA</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1587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2989</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2992</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2993</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0" activePane="bottomLeft" state="frozen"/>
      <selection pane="topLeft" activeCell="F59" sqref="F59"/>
      <selection pane="bottomLeft" activeCell="I76" sqref="I76:J13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64125437677; PONIKVE VODA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872054004</v>
      </c>
      <c r="J10" s="66">
        <f>J11+J18+J28+J39+J44</f>
        <v>886408894</v>
      </c>
    </row>
    <row r="11" spans="1:10" ht="13.5" customHeight="1">
      <c r="A11" s="390" t="s">
        <v>904</v>
      </c>
      <c r="B11" s="390"/>
      <c r="C11" s="390"/>
      <c r="D11" s="390"/>
      <c r="E11" s="390"/>
      <c r="F11" s="390"/>
      <c r="G11" s="15">
        <v>3</v>
      </c>
      <c r="H11" s="16"/>
      <c r="I11" s="66">
        <f>SUM(I12:I17)</f>
        <v>2191057</v>
      </c>
      <c r="J11" s="66">
        <f>SUM(J12:J17)</f>
        <v>2824403</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t="s">
        <v>3013</v>
      </c>
      <c r="I17" s="67">
        <v>2191057</v>
      </c>
      <c r="J17" s="67">
        <v>2824403</v>
      </c>
    </row>
    <row r="18" spans="1:10" ht="13.5" customHeight="1">
      <c r="A18" s="390" t="s">
        <v>965</v>
      </c>
      <c r="B18" s="390"/>
      <c r="C18" s="390"/>
      <c r="D18" s="390"/>
      <c r="E18" s="390"/>
      <c r="F18" s="390"/>
      <c r="G18" s="15">
        <v>10</v>
      </c>
      <c r="H18" s="16"/>
      <c r="I18" s="66">
        <f>SUM(I19:I27)</f>
        <v>868335915</v>
      </c>
      <c r="J18" s="66">
        <f>SUM(J19:J27)</f>
        <v>882910891</v>
      </c>
    </row>
    <row r="19" spans="1:10" ht="13.5" customHeight="1">
      <c r="A19" s="387" t="s">
        <v>733</v>
      </c>
      <c r="B19" s="387"/>
      <c r="C19" s="387"/>
      <c r="D19" s="387"/>
      <c r="E19" s="387"/>
      <c r="F19" s="387"/>
      <c r="G19" s="15">
        <v>11</v>
      </c>
      <c r="H19" s="16" t="s">
        <v>3013</v>
      </c>
      <c r="I19" s="67">
        <v>11930485</v>
      </c>
      <c r="J19" s="67">
        <v>11930485</v>
      </c>
    </row>
    <row r="20" spans="1:10" ht="13.5" customHeight="1">
      <c r="A20" s="387" t="s">
        <v>796</v>
      </c>
      <c r="B20" s="387"/>
      <c r="C20" s="387"/>
      <c r="D20" s="387"/>
      <c r="E20" s="387"/>
      <c r="F20" s="387"/>
      <c r="G20" s="15">
        <v>12</v>
      </c>
      <c r="H20" s="16" t="s">
        <v>3014</v>
      </c>
      <c r="I20" s="67">
        <v>775598142</v>
      </c>
      <c r="J20" s="67">
        <v>758212746</v>
      </c>
    </row>
    <row r="21" spans="1:10" ht="13.5" customHeight="1">
      <c r="A21" s="387" t="s">
        <v>734</v>
      </c>
      <c r="B21" s="387"/>
      <c r="C21" s="387"/>
      <c r="D21" s="387"/>
      <c r="E21" s="387"/>
      <c r="F21" s="387"/>
      <c r="G21" s="15">
        <v>13</v>
      </c>
      <c r="H21" s="16" t="s">
        <v>3013</v>
      </c>
      <c r="I21" s="67">
        <v>22898797</v>
      </c>
      <c r="J21" s="67">
        <v>23917830</v>
      </c>
    </row>
    <row r="22" spans="1:10" ht="13.5" customHeight="1">
      <c r="A22" s="387" t="s">
        <v>405</v>
      </c>
      <c r="B22" s="387"/>
      <c r="C22" s="387"/>
      <c r="D22" s="387"/>
      <c r="E22" s="387"/>
      <c r="F22" s="387"/>
      <c r="G22" s="15">
        <v>14</v>
      </c>
      <c r="H22" s="16" t="s">
        <v>3013</v>
      </c>
      <c r="I22" s="67">
        <v>12527065</v>
      </c>
      <c r="J22" s="67">
        <v>12009175</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t="s">
        <v>3012</v>
      </c>
      <c r="I24" s="67">
        <v>24279237</v>
      </c>
      <c r="J24" s="67">
        <v>20462410</v>
      </c>
    </row>
    <row r="25" spans="1:10" ht="13.5" customHeight="1">
      <c r="A25" s="387" t="s">
        <v>2692</v>
      </c>
      <c r="B25" s="387"/>
      <c r="C25" s="387"/>
      <c r="D25" s="387"/>
      <c r="E25" s="387"/>
      <c r="F25" s="387"/>
      <c r="G25" s="15">
        <v>17</v>
      </c>
      <c r="H25" s="16" t="s">
        <v>3013</v>
      </c>
      <c r="I25" s="67">
        <v>21102189</v>
      </c>
      <c r="J25" s="67">
        <v>56378245</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673600</v>
      </c>
      <c r="J28" s="66">
        <f>SUM(J29:J38)</f>
        <v>673600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t="s">
        <v>3011</v>
      </c>
      <c r="I38" s="67">
        <v>673600</v>
      </c>
      <c r="J38" s="67">
        <v>673600</v>
      </c>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t="s">
        <v>3010</v>
      </c>
      <c r="I44" s="67">
        <v>853432</v>
      </c>
      <c r="J44" s="67">
        <v>0</v>
      </c>
    </row>
    <row r="45" spans="1:10" ht="13.5" customHeight="1">
      <c r="A45" s="385" t="s">
        <v>1263</v>
      </c>
      <c r="B45" s="385"/>
      <c r="C45" s="385"/>
      <c r="D45" s="385"/>
      <c r="E45" s="385"/>
      <c r="F45" s="385"/>
      <c r="G45" s="15">
        <v>37</v>
      </c>
      <c r="H45" s="16"/>
      <c r="I45" s="66">
        <f>I46+I54+I61+I71</f>
        <v>45779963</v>
      </c>
      <c r="J45" s="66">
        <f>J46+J54+J61+J71</f>
        <v>51334959</v>
      </c>
    </row>
    <row r="46" spans="1:10" ht="13.5" customHeight="1">
      <c r="A46" s="390" t="s">
        <v>1264</v>
      </c>
      <c r="B46" s="390"/>
      <c r="C46" s="390"/>
      <c r="D46" s="390"/>
      <c r="E46" s="390"/>
      <c r="F46" s="390"/>
      <c r="G46" s="15">
        <v>38</v>
      </c>
      <c r="H46" s="16"/>
      <c r="I46" s="66">
        <f>SUM(I47:I53)</f>
        <v>6476164</v>
      </c>
      <c r="J46" s="66">
        <f>SUM(J47:J53)</f>
        <v>5742942</v>
      </c>
    </row>
    <row r="47" spans="1:10" ht="13.5" customHeight="1">
      <c r="A47" s="387" t="s">
        <v>1892</v>
      </c>
      <c r="B47" s="387"/>
      <c r="C47" s="387"/>
      <c r="D47" s="387"/>
      <c r="E47" s="387"/>
      <c r="F47" s="387"/>
      <c r="G47" s="15">
        <v>39</v>
      </c>
      <c r="H47" s="16" t="s">
        <v>3009</v>
      </c>
      <c r="I47" s="67">
        <v>6475587</v>
      </c>
      <c r="J47" s="67">
        <v>5577872</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t="s">
        <v>3009</v>
      </c>
      <c r="I51" s="67">
        <v>577</v>
      </c>
      <c r="J51" s="67">
        <v>165070</v>
      </c>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7753755</v>
      </c>
      <c r="J54" s="66">
        <f>SUM(J55:J60)</f>
        <v>8614463</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t="s">
        <v>3008</v>
      </c>
      <c r="I57" s="67">
        <v>7268836</v>
      </c>
      <c r="J57" s="67">
        <v>7009036</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t="s">
        <v>3007</v>
      </c>
      <c r="I59" s="67">
        <v>22291</v>
      </c>
      <c r="J59" s="67">
        <v>33222</v>
      </c>
    </row>
    <row r="60" spans="1:10" ht="13.5" customHeight="1">
      <c r="A60" s="387" t="s">
        <v>1255</v>
      </c>
      <c r="B60" s="387"/>
      <c r="C60" s="387"/>
      <c r="D60" s="387"/>
      <c r="E60" s="387"/>
      <c r="F60" s="387"/>
      <c r="G60" s="15">
        <v>52</v>
      </c>
      <c r="H60" s="16" t="s">
        <v>3006</v>
      </c>
      <c r="I60" s="67">
        <v>462628</v>
      </c>
      <c r="J60" s="67">
        <v>1572205</v>
      </c>
    </row>
    <row r="61" spans="1:10" ht="13.5" customHeight="1">
      <c r="A61" s="390" t="s">
        <v>1266</v>
      </c>
      <c r="B61" s="390"/>
      <c r="C61" s="390"/>
      <c r="D61" s="390"/>
      <c r="E61" s="390"/>
      <c r="F61" s="390"/>
      <c r="G61" s="15">
        <v>53</v>
      </c>
      <c r="H61" s="16"/>
      <c r="I61" s="66">
        <f>SUM(I62:I70)</f>
        <v>1500060</v>
      </c>
      <c r="J61" s="66">
        <f>SUM(J62:J70)</f>
        <v>66150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t="s">
        <v>3005</v>
      </c>
      <c r="I69" s="67">
        <v>1500060</v>
      </c>
      <c r="J69" s="67">
        <v>66150</v>
      </c>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t="s">
        <v>3004</v>
      </c>
      <c r="I71" s="67">
        <v>30049984</v>
      </c>
      <c r="J71" s="67">
        <v>36911404</v>
      </c>
    </row>
    <row r="72" spans="1:10" ht="24.75" customHeight="1">
      <c r="A72" s="385" t="s">
        <v>591</v>
      </c>
      <c r="B72" s="385"/>
      <c r="C72" s="385"/>
      <c r="D72" s="385"/>
      <c r="E72" s="385"/>
      <c r="F72" s="385"/>
      <c r="G72" s="15">
        <v>64</v>
      </c>
      <c r="H72" s="16" t="s">
        <v>3004</v>
      </c>
      <c r="I72" s="67">
        <v>353666</v>
      </c>
      <c r="J72" s="67">
        <v>924300</v>
      </c>
    </row>
    <row r="73" spans="1:10" ht="13.5" customHeight="1">
      <c r="A73" s="385" t="s">
        <v>1267</v>
      </c>
      <c r="B73" s="385"/>
      <c r="C73" s="385"/>
      <c r="D73" s="385"/>
      <c r="E73" s="385"/>
      <c r="F73" s="385"/>
      <c r="G73" s="15">
        <v>65</v>
      </c>
      <c r="H73" s="16"/>
      <c r="I73" s="66">
        <f>I9+I10+I45+I72</f>
        <v>918187633</v>
      </c>
      <c r="J73" s="66">
        <f>J9+J10+J45+J72</f>
        <v>938668153</v>
      </c>
    </row>
    <row r="74" spans="1:10" ht="13.5" customHeight="1">
      <c r="A74" s="386" t="s">
        <v>1004</v>
      </c>
      <c r="B74" s="386"/>
      <c r="C74" s="386"/>
      <c r="D74" s="386"/>
      <c r="E74" s="386"/>
      <c r="F74" s="386"/>
      <c r="G74" s="17">
        <v>66</v>
      </c>
      <c r="H74" s="18" t="s">
        <v>3025</v>
      </c>
      <c r="I74" s="68">
        <v>223140621</v>
      </c>
      <c r="J74" s="68">
        <v>223285694</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380518151</v>
      </c>
      <c r="J76" s="66">
        <f>J77+J78+J79+J85+J86+J92+J95+J98</f>
        <v>384220549</v>
      </c>
      <c r="L76" s="2" t="s">
        <v>1209</v>
      </c>
    </row>
    <row r="77" spans="1:10" ht="13.5" customHeight="1">
      <c r="A77" s="390" t="s">
        <v>1857</v>
      </c>
      <c r="B77" s="390"/>
      <c r="C77" s="390"/>
      <c r="D77" s="390"/>
      <c r="E77" s="390"/>
      <c r="F77" s="390"/>
      <c r="G77" s="15">
        <v>68</v>
      </c>
      <c r="H77" s="16" t="s">
        <v>3002</v>
      </c>
      <c r="I77" s="67">
        <v>378463000</v>
      </c>
      <c r="J77" s="67">
        <v>378463000</v>
      </c>
    </row>
    <row r="78" spans="1:12" ht="13.5" customHeight="1">
      <c r="A78" s="390" t="s">
        <v>1858</v>
      </c>
      <c r="B78" s="390"/>
      <c r="C78" s="390"/>
      <c r="D78" s="390"/>
      <c r="E78" s="390"/>
      <c r="F78" s="390"/>
      <c r="G78" s="15">
        <v>69</v>
      </c>
      <c r="H78" s="16" t="s">
        <v>3002</v>
      </c>
      <c r="I78" s="67">
        <v>2642929</v>
      </c>
      <c r="J78" s="67">
        <v>3421401</v>
      </c>
      <c r="L78" s="2" t="s">
        <v>1209</v>
      </c>
    </row>
    <row r="79" spans="1:12" ht="13.5" customHeight="1">
      <c r="A79" s="390" t="s">
        <v>673</v>
      </c>
      <c r="B79" s="390"/>
      <c r="C79" s="390"/>
      <c r="D79" s="390"/>
      <c r="E79" s="390"/>
      <c r="F79" s="390"/>
      <c r="G79" s="15">
        <v>70</v>
      </c>
      <c r="H79" s="16"/>
      <c r="I79" s="66">
        <f>I80+I81-I82+I83+I84</f>
        <v>1154</v>
      </c>
      <c r="J79" s="66">
        <f>J80+J81-J82+J83+J84</f>
        <v>1154</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t="s">
        <v>3002</v>
      </c>
      <c r="I84" s="67">
        <v>1154</v>
      </c>
      <c r="J84" s="67">
        <v>1154</v>
      </c>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-754385</v>
      </c>
      <c r="J92" s="66">
        <f>J93-J94</f>
        <v>-588932</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t="s">
        <v>3003</v>
      </c>
      <c r="I94" s="67">
        <v>754385</v>
      </c>
      <c r="J94" s="67">
        <v>588932</v>
      </c>
    </row>
    <row r="95" spans="1:12" ht="13.5" customHeight="1">
      <c r="A95" s="390" t="s">
        <v>2487</v>
      </c>
      <c r="B95" s="390"/>
      <c r="C95" s="390"/>
      <c r="D95" s="390"/>
      <c r="E95" s="390"/>
      <c r="F95" s="390"/>
      <c r="G95" s="15">
        <v>86</v>
      </c>
      <c r="H95" s="16"/>
      <c r="I95" s="66">
        <f>I96-I97</f>
        <v>165453</v>
      </c>
      <c r="J95" s="66">
        <f>J96-J97</f>
        <v>2923926</v>
      </c>
      <c r="L95" s="2" t="s">
        <v>1209</v>
      </c>
    </row>
    <row r="96" spans="1:10" ht="13.5" customHeight="1">
      <c r="A96" s="387" t="s">
        <v>1257</v>
      </c>
      <c r="B96" s="387"/>
      <c r="C96" s="387"/>
      <c r="D96" s="387"/>
      <c r="E96" s="387"/>
      <c r="F96" s="387"/>
      <c r="G96" s="15">
        <v>87</v>
      </c>
      <c r="H96" s="16" t="s">
        <v>3002</v>
      </c>
      <c r="I96" s="67">
        <v>165453</v>
      </c>
      <c r="J96" s="67">
        <v>2923926</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61535385</v>
      </c>
      <c r="J106" s="66">
        <f>SUM(J107:J117)</f>
        <v>58585098</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t="s">
        <v>3001</v>
      </c>
      <c r="I112" s="67">
        <v>61535385</v>
      </c>
      <c r="J112" s="67">
        <v>58585098</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21955608</v>
      </c>
      <c r="J118" s="66">
        <f>SUM(J119:J132)</f>
        <v>22917695</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t="s">
        <v>3000</v>
      </c>
      <c r="I123" s="67">
        <v>148756</v>
      </c>
      <c r="J123" s="67">
        <v>151756</v>
      </c>
    </row>
    <row r="124" spans="1:10" ht="13.5" customHeight="1">
      <c r="A124" s="387" t="s">
        <v>2021</v>
      </c>
      <c r="B124" s="387"/>
      <c r="C124" s="387"/>
      <c r="D124" s="387"/>
      <c r="E124" s="387"/>
      <c r="F124" s="387"/>
      <c r="G124" s="15">
        <v>115</v>
      </c>
      <c r="H124" s="16" t="s">
        <v>3001</v>
      </c>
      <c r="I124" s="67">
        <v>4397588</v>
      </c>
      <c r="J124" s="67">
        <v>5223009</v>
      </c>
    </row>
    <row r="125" spans="1:10" ht="13.5" customHeight="1">
      <c r="A125" s="387" t="s">
        <v>2016</v>
      </c>
      <c r="B125" s="387"/>
      <c r="C125" s="387"/>
      <c r="D125" s="387"/>
      <c r="E125" s="387"/>
      <c r="F125" s="387"/>
      <c r="G125" s="15">
        <v>116</v>
      </c>
      <c r="H125" s="16" t="s">
        <v>2999</v>
      </c>
      <c r="I125" s="67">
        <v>151447</v>
      </c>
      <c r="J125" s="67">
        <v>166019</v>
      </c>
    </row>
    <row r="126" spans="1:10" ht="13.5" customHeight="1">
      <c r="A126" s="387" t="s">
        <v>2017</v>
      </c>
      <c r="B126" s="387"/>
      <c r="C126" s="387"/>
      <c r="D126" s="387"/>
      <c r="E126" s="387"/>
      <c r="F126" s="387"/>
      <c r="G126" s="15">
        <v>117</v>
      </c>
      <c r="H126" s="16" t="s">
        <v>1730</v>
      </c>
      <c r="I126" s="67">
        <v>14384819</v>
      </c>
      <c r="J126" s="67">
        <v>14893386</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t="s">
        <v>2998</v>
      </c>
      <c r="I128" s="67">
        <v>759021</v>
      </c>
      <c r="J128" s="67">
        <v>744033</v>
      </c>
    </row>
    <row r="129" spans="1:10" ht="13.5" customHeight="1">
      <c r="A129" s="387" t="s">
        <v>2023</v>
      </c>
      <c r="B129" s="387"/>
      <c r="C129" s="387"/>
      <c r="D129" s="387"/>
      <c r="E129" s="387"/>
      <c r="F129" s="387"/>
      <c r="G129" s="15">
        <v>120</v>
      </c>
      <c r="H129" s="16" t="s">
        <v>2997</v>
      </c>
      <c r="I129" s="67">
        <v>508230</v>
      </c>
      <c r="J129" s="67">
        <v>524661</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t="s">
        <v>2996</v>
      </c>
      <c r="I132" s="67">
        <v>1605747</v>
      </c>
      <c r="J132" s="67">
        <v>1214831</v>
      </c>
    </row>
    <row r="133" spans="1:10" ht="24.75" customHeight="1">
      <c r="A133" s="385" t="s">
        <v>593</v>
      </c>
      <c r="B133" s="385"/>
      <c r="C133" s="385"/>
      <c r="D133" s="385"/>
      <c r="E133" s="385"/>
      <c r="F133" s="385"/>
      <c r="G133" s="15">
        <v>124</v>
      </c>
      <c r="H133" s="16" t="s">
        <v>2995</v>
      </c>
      <c r="I133" s="67">
        <v>454178489</v>
      </c>
      <c r="J133" s="67">
        <v>472944811</v>
      </c>
    </row>
    <row r="134" spans="1:10" ht="13.5" customHeight="1">
      <c r="A134" s="385" t="s">
        <v>360</v>
      </c>
      <c r="B134" s="385"/>
      <c r="C134" s="385"/>
      <c r="D134" s="385"/>
      <c r="E134" s="385"/>
      <c r="F134" s="385"/>
      <c r="G134" s="15">
        <v>125</v>
      </c>
      <c r="H134" s="16"/>
      <c r="I134" s="66">
        <f>I76+I99+I106+I118+I133</f>
        <v>918187633</v>
      </c>
      <c r="J134" s="66">
        <f>J76+J99+J106+J118+J133</f>
        <v>938668153</v>
      </c>
    </row>
    <row r="135" spans="1:10" ht="13.5" customHeight="1">
      <c r="A135" s="386" t="s">
        <v>1512</v>
      </c>
      <c r="B135" s="386"/>
      <c r="C135" s="386"/>
      <c r="D135" s="386"/>
      <c r="E135" s="386"/>
      <c r="F135" s="386"/>
      <c r="G135" s="17">
        <v>126</v>
      </c>
      <c r="H135" s="18" t="s">
        <v>3025</v>
      </c>
      <c r="I135" s="68">
        <v>223140621</v>
      </c>
      <c r="J135" s="68">
        <v>223285694</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85" zoomScaleNormal="85" zoomScalePageLayoutView="0" workbookViewId="0" topLeftCell="A1">
      <pane ySplit="1" topLeftCell="A47" activePane="bottomLeft" state="frozen"/>
      <selection pane="topLeft" activeCell="A59" sqref="A59:F59"/>
      <selection pane="bottomLeft" activeCell="I8" sqref="I8:J68"/>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64125437677; PONIKVE VODA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t="s">
        <v>3015</v>
      </c>
      <c r="I8" s="80">
        <f>SUM(I9:I13)</f>
        <v>54580730</v>
      </c>
      <c r="J8" s="80">
        <f>SUM(J9:J13)</f>
        <v>69113380</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46176090</v>
      </c>
      <c r="J10" s="67">
        <v>53052069</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8404640</v>
      </c>
      <c r="J13" s="67">
        <v>16061311</v>
      </c>
    </row>
    <row r="14" spans="1:10" s="2" customFormat="1" ht="14.25" customHeight="1">
      <c r="A14" s="385" t="s">
        <v>2492</v>
      </c>
      <c r="B14" s="385"/>
      <c r="C14" s="385"/>
      <c r="D14" s="385"/>
      <c r="E14" s="385"/>
      <c r="F14" s="385"/>
      <c r="G14" s="15">
        <v>133</v>
      </c>
      <c r="H14" s="16"/>
      <c r="I14" s="66">
        <f>I15+I16+I20+I24+I25+I26+I29+I36</f>
        <v>53390431</v>
      </c>
      <c r="J14" s="66">
        <f>J15+J16+J20+J24+J25+J26+J29+J36</f>
        <v>64180147</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t="s">
        <v>3017</v>
      </c>
      <c r="I16" s="66">
        <f>SUM(I17:I19)</f>
        <v>17022558</v>
      </c>
      <c r="J16" s="66">
        <f>SUM(J17:J19)</f>
        <v>19188942</v>
      </c>
    </row>
    <row r="17" spans="1:10" s="2" customFormat="1" ht="14.25" customHeight="1">
      <c r="A17" s="413" t="s">
        <v>1273</v>
      </c>
      <c r="B17" s="413"/>
      <c r="C17" s="413"/>
      <c r="D17" s="413"/>
      <c r="E17" s="413"/>
      <c r="F17" s="413"/>
      <c r="G17" s="15">
        <v>136</v>
      </c>
      <c r="H17" s="16"/>
      <c r="I17" s="67">
        <v>7733876</v>
      </c>
      <c r="J17" s="67">
        <v>9731119</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9288682</v>
      </c>
      <c r="J19" s="67">
        <v>9457823</v>
      </c>
    </row>
    <row r="20" spans="1:10" s="2" customFormat="1" ht="14.25" customHeight="1">
      <c r="A20" s="387" t="s">
        <v>2494</v>
      </c>
      <c r="B20" s="387"/>
      <c r="C20" s="387"/>
      <c r="D20" s="387"/>
      <c r="E20" s="387"/>
      <c r="F20" s="387"/>
      <c r="G20" s="15">
        <v>139</v>
      </c>
      <c r="H20" s="16" t="s">
        <v>3018</v>
      </c>
      <c r="I20" s="66">
        <f>SUM(I21:I23)</f>
        <v>11430504</v>
      </c>
      <c r="J20" s="66">
        <f>SUM(J21:J23)</f>
        <v>13051960</v>
      </c>
    </row>
    <row r="21" spans="1:10" s="2" customFormat="1" ht="14.25" customHeight="1">
      <c r="A21" s="413" t="s">
        <v>960</v>
      </c>
      <c r="B21" s="413"/>
      <c r="C21" s="413"/>
      <c r="D21" s="413"/>
      <c r="E21" s="413"/>
      <c r="F21" s="413"/>
      <c r="G21" s="15">
        <v>140</v>
      </c>
      <c r="H21" s="16"/>
      <c r="I21" s="67">
        <v>7470175</v>
      </c>
      <c r="J21" s="67">
        <v>8379665</v>
      </c>
    </row>
    <row r="22" spans="1:10" s="2" customFormat="1" ht="14.25" customHeight="1">
      <c r="A22" s="413" t="s">
        <v>1883</v>
      </c>
      <c r="B22" s="413"/>
      <c r="C22" s="413"/>
      <c r="D22" s="413"/>
      <c r="E22" s="413"/>
      <c r="F22" s="413"/>
      <c r="G22" s="15">
        <v>141</v>
      </c>
      <c r="H22" s="16"/>
      <c r="I22" s="67">
        <v>2494007</v>
      </c>
      <c r="J22" s="67">
        <v>2926080</v>
      </c>
    </row>
    <row r="23" spans="1:10" s="2" customFormat="1" ht="14.25" customHeight="1">
      <c r="A23" s="413" t="s">
        <v>1884</v>
      </c>
      <c r="B23" s="413"/>
      <c r="C23" s="413"/>
      <c r="D23" s="413"/>
      <c r="E23" s="413"/>
      <c r="F23" s="413"/>
      <c r="G23" s="15">
        <v>142</v>
      </c>
      <c r="H23" s="16"/>
      <c r="I23" s="67">
        <v>1466322</v>
      </c>
      <c r="J23" s="67">
        <v>1746215</v>
      </c>
    </row>
    <row r="24" spans="1:10" s="2" customFormat="1" ht="14.25" customHeight="1">
      <c r="A24" s="387" t="s">
        <v>1006</v>
      </c>
      <c r="B24" s="387"/>
      <c r="C24" s="387"/>
      <c r="D24" s="387"/>
      <c r="E24" s="387"/>
      <c r="F24" s="387"/>
      <c r="G24" s="15">
        <v>143</v>
      </c>
      <c r="H24" s="16" t="s">
        <v>3019</v>
      </c>
      <c r="I24" s="67">
        <v>20274157</v>
      </c>
      <c r="J24" s="67">
        <v>27910397</v>
      </c>
    </row>
    <row r="25" spans="1:10" s="2" customFormat="1" ht="14.25" customHeight="1">
      <c r="A25" s="387" t="s">
        <v>1007</v>
      </c>
      <c r="B25" s="387"/>
      <c r="C25" s="387"/>
      <c r="D25" s="387"/>
      <c r="E25" s="387"/>
      <c r="F25" s="387"/>
      <c r="G25" s="15">
        <v>144</v>
      </c>
      <c r="H25" s="16" t="s">
        <v>3020</v>
      </c>
      <c r="I25" s="67">
        <v>2055772</v>
      </c>
      <c r="J25" s="67">
        <v>2427102</v>
      </c>
    </row>
    <row r="26" spans="1:12" s="2" customFormat="1" ht="14.25" customHeight="1">
      <c r="A26" s="387" t="s">
        <v>2495</v>
      </c>
      <c r="B26" s="387"/>
      <c r="C26" s="387"/>
      <c r="D26" s="387"/>
      <c r="E26" s="387"/>
      <c r="F26" s="387"/>
      <c r="G26" s="15">
        <v>145</v>
      </c>
      <c r="H26" s="16"/>
      <c r="I26" s="66">
        <f>SUM(I27:I28)</f>
        <v>60149</v>
      </c>
      <c r="J26" s="66">
        <f>SUM(J27:J28)</f>
        <v>166355</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t="s">
        <v>3021</v>
      </c>
      <c r="I28" s="67">
        <v>60149</v>
      </c>
      <c r="J28" s="67">
        <v>166355</v>
      </c>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t="s">
        <v>3022</v>
      </c>
      <c r="I36" s="67">
        <v>2547291</v>
      </c>
      <c r="J36" s="67">
        <v>1435391</v>
      </c>
    </row>
    <row r="37" spans="1:10" s="2" customFormat="1" ht="14.25" customHeight="1">
      <c r="A37" s="385" t="s">
        <v>2497</v>
      </c>
      <c r="B37" s="385"/>
      <c r="C37" s="385"/>
      <c r="D37" s="385"/>
      <c r="E37" s="385"/>
      <c r="F37" s="385"/>
      <c r="G37" s="15">
        <v>156</v>
      </c>
      <c r="H37" s="16" t="s">
        <v>3016</v>
      </c>
      <c r="I37" s="66">
        <f>SUM(I38:I47)</f>
        <v>368123</v>
      </c>
      <c r="J37" s="66">
        <f>SUM(J38:J47)</f>
        <v>227035</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325346</v>
      </c>
      <c r="J44" s="67">
        <v>227035</v>
      </c>
    </row>
    <row r="45" spans="1:10" s="2" customFormat="1" ht="14.25" customHeight="1">
      <c r="A45" s="387" t="s">
        <v>2961</v>
      </c>
      <c r="B45" s="387"/>
      <c r="C45" s="387"/>
      <c r="D45" s="387"/>
      <c r="E45" s="387"/>
      <c r="F45" s="387"/>
      <c r="G45" s="15">
        <v>164</v>
      </c>
      <c r="H45" s="16"/>
      <c r="I45" s="67">
        <v>42777</v>
      </c>
      <c r="J45" s="67">
        <v>0</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t="s">
        <v>3023</v>
      </c>
      <c r="I48" s="66">
        <f>SUM(I49:I55)</f>
        <v>1392969</v>
      </c>
      <c r="J48" s="66">
        <f>SUM(J49:J55)</f>
        <v>1382910</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1391208</v>
      </c>
      <c r="J51" s="67">
        <v>1351185</v>
      </c>
    </row>
    <row r="52" spans="1:10" s="2" customFormat="1" ht="14.25" customHeight="1">
      <c r="A52" s="408" t="s">
        <v>1090</v>
      </c>
      <c r="B52" s="408"/>
      <c r="C52" s="408"/>
      <c r="D52" s="408"/>
      <c r="E52" s="408"/>
      <c r="F52" s="408"/>
      <c r="G52" s="15">
        <v>171</v>
      </c>
      <c r="H52" s="16"/>
      <c r="I52" s="67">
        <v>1761</v>
      </c>
      <c r="J52" s="67">
        <v>31725</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54948853</v>
      </c>
      <c r="J60" s="66">
        <f>J8+J37+J56+J57</f>
        <v>69340415</v>
      </c>
    </row>
    <row r="61" spans="1:10" s="2" customFormat="1" ht="14.25" customHeight="1">
      <c r="A61" s="385" t="s">
        <v>2500</v>
      </c>
      <c r="B61" s="385"/>
      <c r="C61" s="385"/>
      <c r="D61" s="385"/>
      <c r="E61" s="385"/>
      <c r="F61" s="385"/>
      <c r="G61" s="15">
        <v>180</v>
      </c>
      <c r="H61" s="16"/>
      <c r="I61" s="66">
        <f>I14+I48+I58+I59</f>
        <v>54783400</v>
      </c>
      <c r="J61" s="66">
        <f>J14+J48+J58+J59</f>
        <v>65563057</v>
      </c>
    </row>
    <row r="62" spans="1:12" s="2" customFormat="1" ht="14.25" customHeight="1">
      <c r="A62" s="385" t="s">
        <v>2501</v>
      </c>
      <c r="B62" s="385"/>
      <c r="C62" s="385"/>
      <c r="D62" s="385"/>
      <c r="E62" s="385"/>
      <c r="F62" s="385"/>
      <c r="G62" s="15">
        <v>181</v>
      </c>
      <c r="H62" s="16"/>
      <c r="I62" s="66">
        <f>I60-I61</f>
        <v>165453</v>
      </c>
      <c r="J62" s="66">
        <f>J60-J61</f>
        <v>3777358</v>
      </c>
      <c r="L62" s="2" t="s">
        <v>1209</v>
      </c>
    </row>
    <row r="63" spans="1:10" s="2" customFormat="1" ht="14.25" customHeight="1">
      <c r="A63" s="408" t="s">
        <v>2502</v>
      </c>
      <c r="B63" s="408"/>
      <c r="C63" s="408"/>
      <c r="D63" s="408"/>
      <c r="E63" s="408"/>
      <c r="F63" s="408"/>
      <c r="G63" s="15">
        <v>182</v>
      </c>
      <c r="H63" s="16" t="s">
        <v>3024</v>
      </c>
      <c r="I63" s="66">
        <f>IF(I60&gt;I61,I60-I61,0)</f>
        <v>165453</v>
      </c>
      <c r="J63" s="66">
        <f>IF(J60&gt;J61,J60-J61,0)</f>
        <v>3777358</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t="s">
        <v>3024</v>
      </c>
      <c r="I65" s="67">
        <v>0</v>
      </c>
      <c r="J65" s="67">
        <v>853432</v>
      </c>
      <c r="L65" s="2" t="s">
        <v>1209</v>
      </c>
    </row>
    <row r="66" spans="1:12" s="2" customFormat="1" ht="14.25" customHeight="1">
      <c r="A66" s="385" t="s">
        <v>2504</v>
      </c>
      <c r="B66" s="385"/>
      <c r="C66" s="385"/>
      <c r="D66" s="385"/>
      <c r="E66" s="385"/>
      <c r="F66" s="385"/>
      <c r="G66" s="15">
        <v>185</v>
      </c>
      <c r="H66" s="16"/>
      <c r="I66" s="66">
        <f>I62-I65</f>
        <v>165453</v>
      </c>
      <c r="J66" s="66">
        <f>J62-J65</f>
        <v>2923926</v>
      </c>
      <c r="L66" s="2" t="s">
        <v>1209</v>
      </c>
    </row>
    <row r="67" spans="1:10" s="2" customFormat="1" ht="14.25" customHeight="1">
      <c r="A67" s="408" t="s">
        <v>2505</v>
      </c>
      <c r="B67" s="408"/>
      <c r="C67" s="408"/>
      <c r="D67" s="408"/>
      <c r="E67" s="408"/>
      <c r="F67" s="408"/>
      <c r="G67" s="15">
        <v>186</v>
      </c>
      <c r="H67" s="16" t="s">
        <v>3024</v>
      </c>
      <c r="I67" s="66">
        <f>IF(I66&gt;0,I66,0)</f>
        <v>165453</v>
      </c>
      <c r="J67" s="66">
        <f>IF(J66&gt;0,J66,0)</f>
        <v>2923926</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59" sqref="A59:F59"/>
      <selection pane="bottomLeft" activeCell="I25" sqref="I25:J2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64125437677; PONIKVE VODA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1.25">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5" sqref="A15:F15"/>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1</v>
      </c>
      <c r="R1" s="69" t="s">
        <v>792</v>
      </c>
    </row>
    <row r="2" spans="1:18" s="2" customFormat="1" ht="19.5" customHeight="1">
      <c r="A2" s="436" t="s">
        <v>1102</v>
      </c>
      <c r="B2" s="437"/>
      <c r="C2" s="437"/>
      <c r="D2" s="437"/>
      <c r="E2" s="437"/>
      <c r="F2" s="437"/>
      <c r="G2" s="437"/>
      <c r="H2" s="437"/>
      <c r="I2" s="458"/>
      <c r="J2" s="392" t="s">
        <v>1212</v>
      </c>
      <c r="Q2" s="70">
        <f>IF(OR(MIN(I8:I60)&lt;0,MAX(I8:I60)&gt;0),1,0)</f>
        <v>1</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1</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64125437677; PONIKVE VODA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v>165453</v>
      </c>
      <c r="J9" s="138">
        <v>3777358</v>
      </c>
    </row>
    <row r="10" spans="1:10" s="2" customFormat="1" ht="13.5" customHeight="1">
      <c r="A10" s="408" t="s">
        <v>71</v>
      </c>
      <c r="B10" s="408"/>
      <c r="C10" s="408"/>
      <c r="D10" s="408"/>
      <c r="E10" s="408"/>
      <c r="F10" s="408"/>
      <c r="G10" s="15">
        <v>2</v>
      </c>
      <c r="H10" s="19"/>
      <c r="I10" s="121">
        <f>SUM(I11:I18)</f>
        <v>21359151</v>
      </c>
      <c r="J10" s="121">
        <f>SUM(J11:J18)</f>
        <v>29232627</v>
      </c>
    </row>
    <row r="11" spans="1:12" s="2" customFormat="1" ht="13.5" customHeight="1">
      <c r="A11" s="448" t="s">
        <v>1543</v>
      </c>
      <c r="B11" s="448"/>
      <c r="C11" s="448"/>
      <c r="D11" s="448"/>
      <c r="E11" s="448"/>
      <c r="F11" s="448"/>
      <c r="G11" s="15">
        <v>3</v>
      </c>
      <c r="H11" s="19"/>
      <c r="I11" s="122">
        <v>20274157</v>
      </c>
      <c r="J11" s="122">
        <v>27910397</v>
      </c>
      <c r="L11" s="2" t="s">
        <v>2525</v>
      </c>
    </row>
    <row r="12" spans="1:10" s="2" customFormat="1" ht="24.75" customHeight="1">
      <c r="A12" s="448" t="s">
        <v>2441</v>
      </c>
      <c r="B12" s="448"/>
      <c r="C12" s="448"/>
      <c r="D12" s="448"/>
      <c r="E12" s="448"/>
      <c r="F12" s="448"/>
      <c r="G12" s="15">
        <v>4</v>
      </c>
      <c r="H12" s="19"/>
      <c r="I12" s="122">
        <v>60149</v>
      </c>
      <c r="J12" s="122">
        <v>166355</v>
      </c>
    </row>
    <row r="13" spans="1:10" s="2" customFormat="1" ht="24.75" customHeight="1">
      <c r="A13" s="448" t="s">
        <v>2442</v>
      </c>
      <c r="B13" s="448"/>
      <c r="C13" s="448"/>
      <c r="D13" s="448"/>
      <c r="E13" s="448"/>
      <c r="F13" s="448"/>
      <c r="G13" s="15">
        <v>5</v>
      </c>
      <c r="H13" s="19"/>
      <c r="I13" s="122"/>
      <c r="J13" s="122">
        <v>0</v>
      </c>
    </row>
    <row r="14" spans="1:12" s="2" customFormat="1" ht="13.5" customHeight="1">
      <c r="A14" s="448" t="s">
        <v>1544</v>
      </c>
      <c r="B14" s="448"/>
      <c r="C14" s="448"/>
      <c r="D14" s="448"/>
      <c r="E14" s="448"/>
      <c r="F14" s="448"/>
      <c r="G14" s="15">
        <v>6</v>
      </c>
      <c r="H14" s="19"/>
      <c r="I14" s="122">
        <v>-325346</v>
      </c>
      <c r="J14" s="122">
        <v>-227035</v>
      </c>
      <c r="L14" s="2" t="s">
        <v>1209</v>
      </c>
    </row>
    <row r="15" spans="1:12" s="2" customFormat="1" ht="13.5" customHeight="1">
      <c r="A15" s="448" t="s">
        <v>1545</v>
      </c>
      <c r="B15" s="448"/>
      <c r="C15" s="448"/>
      <c r="D15" s="448"/>
      <c r="E15" s="448"/>
      <c r="F15" s="448"/>
      <c r="G15" s="15">
        <v>7</v>
      </c>
      <c r="H15" s="19"/>
      <c r="I15" s="122">
        <v>1391207</v>
      </c>
      <c r="J15" s="122">
        <v>1351185</v>
      </c>
      <c r="L15" s="2" t="s">
        <v>2525</v>
      </c>
    </row>
    <row r="16" spans="1:10" s="2" customFormat="1" ht="13.5" customHeight="1">
      <c r="A16" s="448" t="s">
        <v>1546</v>
      </c>
      <c r="B16" s="448"/>
      <c r="C16" s="448"/>
      <c r="D16" s="448"/>
      <c r="E16" s="448"/>
      <c r="F16" s="448"/>
      <c r="G16" s="15">
        <v>8</v>
      </c>
      <c r="H16" s="19"/>
      <c r="I16" s="122"/>
      <c r="J16" s="122">
        <v>0</v>
      </c>
    </row>
    <row r="17" spans="1:10" s="2" customFormat="1" ht="13.5" customHeight="1">
      <c r="A17" s="448" t="s">
        <v>1547</v>
      </c>
      <c r="B17" s="448"/>
      <c r="C17" s="448"/>
      <c r="D17" s="448"/>
      <c r="E17" s="448"/>
      <c r="F17" s="448"/>
      <c r="G17" s="15">
        <v>9</v>
      </c>
      <c r="H17" s="19"/>
      <c r="I17" s="122">
        <v>-41016</v>
      </c>
      <c r="J17" s="122">
        <v>31725</v>
      </c>
    </row>
    <row r="18" spans="1:10" s="2" customFormat="1" ht="13.5" customHeight="1">
      <c r="A18" s="448" t="s">
        <v>2440</v>
      </c>
      <c r="B18" s="448"/>
      <c r="C18" s="448"/>
      <c r="D18" s="448"/>
      <c r="E18" s="448"/>
      <c r="F18" s="448"/>
      <c r="G18" s="15">
        <v>10</v>
      </c>
      <c r="H18" s="19"/>
      <c r="I18" s="122"/>
      <c r="J18" s="122">
        <v>0</v>
      </c>
    </row>
    <row r="19" spans="1:14" s="2" customFormat="1" ht="24.75" customHeight="1">
      <c r="A19" s="411" t="s">
        <v>2439</v>
      </c>
      <c r="B19" s="411"/>
      <c r="C19" s="411"/>
      <c r="D19" s="411"/>
      <c r="E19" s="411"/>
      <c r="F19" s="411"/>
      <c r="G19" s="15">
        <v>11</v>
      </c>
      <c r="H19" s="19"/>
      <c r="I19" s="121">
        <f>I9+I10</f>
        <v>21524604</v>
      </c>
      <c r="J19" s="121">
        <f>J9+J10</f>
        <v>33009985</v>
      </c>
      <c r="N19" s="2">
        <f>IF(MIN(NT_I!I11:J11,NT_I!I15:J15,NT_I!I30:J36,NT_I!I59:J60)&lt;0,1,0)</f>
        <v>0</v>
      </c>
    </row>
    <row r="20" spans="1:10" s="2" customFormat="1" ht="13.5" customHeight="1">
      <c r="A20" s="408" t="s">
        <v>21</v>
      </c>
      <c r="B20" s="408"/>
      <c r="C20" s="408"/>
      <c r="D20" s="408"/>
      <c r="E20" s="408"/>
      <c r="F20" s="408"/>
      <c r="G20" s="15">
        <v>12</v>
      </c>
      <c r="H20" s="19"/>
      <c r="I20" s="121">
        <f>SUM(I21:I24)</f>
        <v>6761721</v>
      </c>
      <c r="J20" s="121">
        <f>SUM(J21:J24)</f>
        <v>-5717717</v>
      </c>
    </row>
    <row r="21" spans="1:10" s="2" customFormat="1" ht="13.5" customHeight="1">
      <c r="A21" s="448" t="s">
        <v>2353</v>
      </c>
      <c r="B21" s="448"/>
      <c r="C21" s="448"/>
      <c r="D21" s="448"/>
      <c r="E21" s="448"/>
      <c r="F21" s="448"/>
      <c r="G21" s="15">
        <v>13</v>
      </c>
      <c r="H21" s="19"/>
      <c r="I21" s="122">
        <v>-29723666</v>
      </c>
      <c r="J21" s="122">
        <v>962087</v>
      </c>
    </row>
    <row r="22" spans="1:10" s="2" customFormat="1" ht="13.5" customHeight="1">
      <c r="A22" s="448" t="s">
        <v>2354</v>
      </c>
      <c r="B22" s="448"/>
      <c r="C22" s="448"/>
      <c r="D22" s="448"/>
      <c r="E22" s="448"/>
      <c r="F22" s="448"/>
      <c r="G22" s="15">
        <v>14</v>
      </c>
      <c r="H22" s="19"/>
      <c r="I22" s="122">
        <v>2544370</v>
      </c>
      <c r="J22" s="122">
        <v>-509912</v>
      </c>
    </row>
    <row r="23" spans="1:10" s="2" customFormat="1" ht="13.5" customHeight="1">
      <c r="A23" s="448" t="s">
        <v>2355</v>
      </c>
      <c r="B23" s="448"/>
      <c r="C23" s="448"/>
      <c r="D23" s="448"/>
      <c r="E23" s="448"/>
      <c r="F23" s="448"/>
      <c r="G23" s="15">
        <v>15</v>
      </c>
      <c r="H23" s="19"/>
      <c r="I23" s="122">
        <v>-3749460</v>
      </c>
      <c r="J23" s="122">
        <v>733222</v>
      </c>
    </row>
    <row r="24" spans="1:10" s="2" customFormat="1" ht="13.5" customHeight="1">
      <c r="A24" s="448" t="s">
        <v>2356</v>
      </c>
      <c r="B24" s="448"/>
      <c r="C24" s="448"/>
      <c r="D24" s="448"/>
      <c r="E24" s="448"/>
      <c r="F24" s="448"/>
      <c r="G24" s="15">
        <v>16</v>
      </c>
      <c r="H24" s="19"/>
      <c r="I24" s="122">
        <v>37690477</v>
      </c>
      <c r="J24" s="122">
        <v>-6903114</v>
      </c>
    </row>
    <row r="25" spans="1:10" s="2" customFormat="1" ht="13.5" customHeight="1">
      <c r="A25" s="411" t="s">
        <v>2936</v>
      </c>
      <c r="B25" s="411"/>
      <c r="C25" s="411"/>
      <c r="D25" s="411"/>
      <c r="E25" s="411"/>
      <c r="F25" s="411"/>
      <c r="G25" s="15">
        <v>17</v>
      </c>
      <c r="H25" s="19"/>
      <c r="I25" s="121">
        <f>I19+I20</f>
        <v>28286325</v>
      </c>
      <c r="J25" s="121">
        <f>J19+J20</f>
        <v>27292268</v>
      </c>
    </row>
    <row r="26" spans="1:12" s="2" customFormat="1" ht="13.5" customHeight="1">
      <c r="A26" s="408" t="s">
        <v>1787</v>
      </c>
      <c r="B26" s="408"/>
      <c r="C26" s="408"/>
      <c r="D26" s="408"/>
      <c r="E26" s="408"/>
      <c r="F26" s="408"/>
      <c r="G26" s="15">
        <v>18</v>
      </c>
      <c r="H26" s="19"/>
      <c r="I26" s="122">
        <v>-1391207</v>
      </c>
      <c r="J26" s="122">
        <v>-1351185</v>
      </c>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26895118</v>
      </c>
      <c r="J28" s="123">
        <f>SUM(J25:J27)</f>
        <v>25941083</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v>0</v>
      </c>
      <c r="J32" s="73">
        <v>195310</v>
      </c>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v>114529423</v>
      </c>
      <c r="J35" s="73">
        <v>32825581</v>
      </c>
      <c r="L35" s="2" t="s">
        <v>2525</v>
      </c>
    </row>
    <row r="36" spans="1:12" s="2" customFormat="1" ht="13.5" customHeight="1">
      <c r="A36" s="411" t="s">
        <v>2935</v>
      </c>
      <c r="B36" s="411"/>
      <c r="C36" s="411"/>
      <c r="D36" s="411"/>
      <c r="E36" s="411"/>
      <c r="F36" s="411"/>
      <c r="G36" s="15">
        <v>27</v>
      </c>
      <c r="H36" s="19"/>
      <c r="I36" s="82">
        <f>SUM(I30:I35)</f>
        <v>114529423</v>
      </c>
      <c r="J36" s="82">
        <f>SUM(J30:J35)</f>
        <v>33020891</v>
      </c>
      <c r="L36" s="2" t="s">
        <v>2525</v>
      </c>
    </row>
    <row r="37" spans="1:12" s="2" customFormat="1" ht="13.5" customHeight="1">
      <c r="A37" s="408" t="s">
        <v>66</v>
      </c>
      <c r="B37" s="408"/>
      <c r="C37" s="408"/>
      <c r="D37" s="408"/>
      <c r="E37" s="408"/>
      <c r="F37" s="408"/>
      <c r="G37" s="15">
        <v>28</v>
      </c>
      <c r="H37" s="19"/>
      <c r="I37" s="73">
        <v>-125553060</v>
      </c>
      <c r="J37" s="73">
        <v>-49592597</v>
      </c>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-125553060</v>
      </c>
      <c r="J42" s="82">
        <f>SUM(J37:J41)</f>
        <v>-49592597</v>
      </c>
      <c r="L42" s="2" t="s">
        <v>1209</v>
      </c>
    </row>
    <row r="43" spans="1:10" s="2" customFormat="1" ht="13.5" customHeight="1">
      <c r="A43" s="453" t="s">
        <v>2923</v>
      </c>
      <c r="B43" s="453"/>
      <c r="C43" s="453"/>
      <c r="D43" s="453"/>
      <c r="E43" s="453"/>
      <c r="F43" s="453"/>
      <c r="G43" s="17">
        <v>34</v>
      </c>
      <c r="H43" s="20"/>
      <c r="I43" s="83">
        <f>I36+I42</f>
        <v>-11023637</v>
      </c>
      <c r="J43" s="83">
        <f>J36+J42</f>
        <v>-16571706</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v>12665161</v>
      </c>
      <c r="J47" s="73">
        <v>2245419</v>
      </c>
      <c r="L47" s="2" t="s">
        <v>2525</v>
      </c>
    </row>
    <row r="48" spans="1:12" s="2" customFormat="1" ht="13.5" customHeight="1">
      <c r="A48" s="408" t="s">
        <v>2814</v>
      </c>
      <c r="B48" s="408"/>
      <c r="C48" s="408"/>
      <c r="D48" s="408"/>
      <c r="E48" s="408"/>
      <c r="F48" s="408"/>
      <c r="G48" s="15">
        <v>38</v>
      </c>
      <c r="H48" s="19"/>
      <c r="I48" s="73">
        <v>989168</v>
      </c>
      <c r="J48" s="73">
        <v>1411202</v>
      </c>
      <c r="L48" s="2" t="s">
        <v>2525</v>
      </c>
    </row>
    <row r="49" spans="1:12" s="2" customFormat="1" ht="13.5" customHeight="1">
      <c r="A49" s="411" t="s">
        <v>2934</v>
      </c>
      <c r="B49" s="411"/>
      <c r="C49" s="411"/>
      <c r="D49" s="411"/>
      <c r="E49" s="411"/>
      <c r="F49" s="411"/>
      <c r="G49" s="15">
        <v>39</v>
      </c>
      <c r="H49" s="19"/>
      <c r="I49" s="82">
        <f>SUM(I45:I48)</f>
        <v>13654329</v>
      </c>
      <c r="J49" s="82">
        <f>SUM(J45:J48)</f>
        <v>3656621</v>
      </c>
      <c r="L49" s="2" t="s">
        <v>2525</v>
      </c>
    </row>
    <row r="50" spans="1:12" s="2" customFormat="1" ht="24.75" customHeight="1">
      <c r="A50" s="408" t="s">
        <v>2562</v>
      </c>
      <c r="B50" s="408"/>
      <c r="C50" s="408"/>
      <c r="D50" s="408"/>
      <c r="E50" s="408"/>
      <c r="F50" s="408"/>
      <c r="G50" s="15">
        <v>40</v>
      </c>
      <c r="H50" s="19"/>
      <c r="I50" s="73">
        <v>-13594825</v>
      </c>
      <c r="J50" s="73">
        <v>-4379394</v>
      </c>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v>-1793336</v>
      </c>
      <c r="J54" s="73">
        <v>-1785184</v>
      </c>
      <c r="L54" s="2" t="s">
        <v>1209</v>
      </c>
    </row>
    <row r="55" spans="1:12" s="2" customFormat="1" ht="13.5" customHeight="1">
      <c r="A55" s="411" t="s">
        <v>2444</v>
      </c>
      <c r="B55" s="411"/>
      <c r="C55" s="411"/>
      <c r="D55" s="411"/>
      <c r="E55" s="411"/>
      <c r="F55" s="411"/>
      <c r="G55" s="15">
        <v>45</v>
      </c>
      <c r="H55" s="19"/>
      <c r="I55" s="82">
        <f>SUM(I50:I54)</f>
        <v>-15388161</v>
      </c>
      <c r="J55" s="82">
        <f>SUM(J50:J54)</f>
        <v>-6164578</v>
      </c>
      <c r="L55" s="2" t="s">
        <v>1209</v>
      </c>
    </row>
    <row r="56" spans="1:10" s="2" customFormat="1" ht="13.5" customHeight="1">
      <c r="A56" s="409" t="s">
        <v>209</v>
      </c>
      <c r="B56" s="409"/>
      <c r="C56" s="409"/>
      <c r="D56" s="409"/>
      <c r="E56" s="409"/>
      <c r="F56" s="409"/>
      <c r="G56" s="15">
        <v>46</v>
      </c>
      <c r="H56" s="19"/>
      <c r="I56" s="82">
        <f>I49+I55</f>
        <v>-1733832</v>
      </c>
      <c r="J56" s="82">
        <f>J49+J55</f>
        <v>-2507957</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14137649</v>
      </c>
      <c r="J58" s="82">
        <f>J28+J43+J56+J57</f>
        <v>6861420</v>
      </c>
    </row>
    <row r="59" spans="1:12" s="2" customFormat="1" ht="13.5" customHeight="1">
      <c r="A59" s="409" t="s">
        <v>2810</v>
      </c>
      <c r="B59" s="409"/>
      <c r="C59" s="409"/>
      <c r="D59" s="409"/>
      <c r="E59" s="409"/>
      <c r="F59" s="409"/>
      <c r="G59" s="15">
        <v>49</v>
      </c>
      <c r="H59" s="19"/>
      <c r="I59" s="73">
        <v>15912335</v>
      </c>
      <c r="J59" s="73">
        <v>30049984</v>
      </c>
      <c r="L59" s="2" t="s">
        <v>2525</v>
      </c>
    </row>
    <row r="60" spans="1:18" s="2" customFormat="1" ht="13.5" customHeight="1">
      <c r="A60" s="453" t="s">
        <v>2560</v>
      </c>
      <c r="B60" s="453"/>
      <c r="C60" s="453"/>
      <c r="D60" s="453"/>
      <c r="E60" s="453"/>
      <c r="F60" s="453"/>
      <c r="G60" s="17">
        <v>50</v>
      </c>
      <c r="H60" s="20"/>
      <c r="I60" s="83">
        <f>I59+I58</f>
        <v>30049984</v>
      </c>
      <c r="J60" s="83">
        <f>J59+J58</f>
        <v>36911404</v>
      </c>
      <c r="L60" s="2" t="s">
        <v>2525</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64125437677; PONIKVE VODA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85" zoomScaleNormal="85" zoomScalePageLayoutView="0" workbookViewId="0" topLeftCell="P1">
      <pane ySplit="1" topLeftCell="A32" activePane="bottomLeft" state="frozen"/>
      <selection pane="topLeft" activeCell="A1" sqref="A1"/>
      <selection pane="bottomLeft" activeCell="V39" sqref="V39:X62"/>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1</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64125437677; PONIKVE VODA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v>322395200</v>
      </c>
      <c r="J10" s="21">
        <v>56913352</v>
      </c>
      <c r="K10" s="21"/>
      <c r="L10" s="21"/>
      <c r="M10" s="21"/>
      <c r="N10" s="21"/>
      <c r="O10" s="21">
        <v>859</v>
      </c>
      <c r="P10" s="21"/>
      <c r="Q10" s="21"/>
      <c r="R10" s="21"/>
      <c r="S10" s="21"/>
      <c r="T10" s="21"/>
      <c r="U10" s="21"/>
      <c r="V10" s="21">
        <v>4382932</v>
      </c>
      <c r="W10" s="21">
        <v>-1249461</v>
      </c>
      <c r="X10" s="202">
        <f>SUM(I10:L10)-M10+SUM(N10:W10)</f>
        <v>382442882</v>
      </c>
      <c r="Y10" s="21"/>
      <c r="Z10" s="202">
        <f>Y10+X10</f>
        <v>382442882</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v>-3887856</v>
      </c>
      <c r="W12" s="21"/>
      <c r="X12" s="202">
        <f t="shared" si="0"/>
        <v>-3887856</v>
      </c>
      <c r="Y12" s="21"/>
      <c r="Z12" s="202">
        <f t="shared" si="1"/>
        <v>-3887856</v>
      </c>
      <c r="AD12" s="136"/>
      <c r="AE12" s="136"/>
      <c r="AF12" s="136"/>
      <c r="AG12" s="135"/>
    </row>
    <row r="13" spans="1:33" s="3" customFormat="1" ht="13.5" customHeight="1">
      <c r="A13" s="467" t="s">
        <v>501</v>
      </c>
      <c r="B13" s="467"/>
      <c r="C13" s="467"/>
      <c r="D13" s="467"/>
      <c r="E13" s="467"/>
      <c r="F13" s="467"/>
      <c r="G13" s="199">
        <v>4</v>
      </c>
      <c r="H13" s="128"/>
      <c r="I13" s="202">
        <f>SUM(I10:I12)</f>
        <v>322395200</v>
      </c>
      <c r="J13" s="202">
        <f aca="true" t="shared" si="2" ref="J13:W13">SUM(J10:J12)</f>
        <v>56913352</v>
      </c>
      <c r="K13" s="202">
        <f t="shared" si="2"/>
        <v>0</v>
      </c>
      <c r="L13" s="202">
        <f t="shared" si="2"/>
        <v>0</v>
      </c>
      <c r="M13" s="202">
        <f t="shared" si="2"/>
        <v>0</v>
      </c>
      <c r="N13" s="202">
        <f t="shared" si="2"/>
        <v>0</v>
      </c>
      <c r="O13" s="202">
        <f t="shared" si="2"/>
        <v>859</v>
      </c>
      <c r="P13" s="202">
        <f t="shared" si="2"/>
        <v>0</v>
      </c>
      <c r="Q13" s="202">
        <f t="shared" si="2"/>
        <v>0</v>
      </c>
      <c r="R13" s="202">
        <f t="shared" si="2"/>
        <v>0</v>
      </c>
      <c r="S13" s="202">
        <f t="shared" si="2"/>
        <v>0</v>
      </c>
      <c r="T13" s="202">
        <f>SUM(T10:T12)</f>
        <v>0</v>
      </c>
      <c r="U13" s="202">
        <f>SUM(U10:U12)</f>
        <v>0</v>
      </c>
      <c r="V13" s="202">
        <f t="shared" si="2"/>
        <v>495076</v>
      </c>
      <c r="W13" s="202">
        <f t="shared" si="2"/>
        <v>-1249461</v>
      </c>
      <c r="X13" s="202">
        <f t="shared" si="0"/>
        <v>378555026</v>
      </c>
      <c r="Y13" s="202">
        <f>SUM(Y10:Y12)</f>
        <v>0</v>
      </c>
      <c r="Z13" s="202">
        <f t="shared" si="1"/>
        <v>378555026</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v>165453</v>
      </c>
      <c r="X14" s="202">
        <f t="shared" si="0"/>
        <v>165453</v>
      </c>
      <c r="Y14" s="21"/>
      <c r="Z14" s="202">
        <f t="shared" si="1"/>
        <v>165453</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v>2642929</v>
      </c>
      <c r="K22" s="21"/>
      <c r="L22" s="21"/>
      <c r="M22" s="21"/>
      <c r="N22" s="21"/>
      <c r="O22" s="21"/>
      <c r="P22" s="21"/>
      <c r="Q22" s="21"/>
      <c r="R22" s="21"/>
      <c r="S22" s="21"/>
      <c r="T22" s="21"/>
      <c r="U22" s="21"/>
      <c r="V22" s="21"/>
      <c r="W22" s="21"/>
      <c r="X22" s="202">
        <f t="shared" si="0"/>
        <v>2642929</v>
      </c>
      <c r="Y22" s="21"/>
      <c r="Z22" s="202">
        <f t="shared" si="1"/>
        <v>2642929</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v>56067800</v>
      </c>
      <c r="J28" s="21"/>
      <c r="K28" s="21"/>
      <c r="L28" s="21"/>
      <c r="M28" s="21"/>
      <c r="N28" s="21"/>
      <c r="O28" s="21">
        <v>295</v>
      </c>
      <c r="P28" s="21"/>
      <c r="Q28" s="21"/>
      <c r="R28" s="21"/>
      <c r="S28" s="21"/>
      <c r="T28" s="21"/>
      <c r="U28" s="21"/>
      <c r="V28" s="21"/>
      <c r="W28" s="21"/>
      <c r="X28" s="202">
        <f>SUM(I28:L28)-M28+SUM(N28:W28)</f>
        <v>56068095</v>
      </c>
      <c r="Y28" s="21"/>
      <c r="Z28" s="202">
        <f>Y28+X28</f>
        <v>56068095</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v>-56913352</v>
      </c>
      <c r="K31" s="21"/>
      <c r="L31" s="21"/>
      <c r="M31" s="21"/>
      <c r="N31" s="21"/>
      <c r="O31" s="21"/>
      <c r="P31" s="21"/>
      <c r="Q31" s="21"/>
      <c r="R31" s="21"/>
      <c r="S31" s="21"/>
      <c r="T31" s="21"/>
      <c r="U31" s="21"/>
      <c r="V31" s="21">
        <v>-1249461</v>
      </c>
      <c r="W31" s="21">
        <v>1249461</v>
      </c>
      <c r="X31" s="202">
        <f t="shared" si="0"/>
        <v>-56913352</v>
      </c>
      <c r="Y31" s="21"/>
      <c r="Z31" s="202">
        <f t="shared" si="1"/>
        <v>-56913352</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378463000</v>
      </c>
      <c r="J33" s="201">
        <f aca="true" t="shared" si="3" ref="J33:W33">SUM(J13:J32)</f>
        <v>2642929</v>
      </c>
      <c r="K33" s="201">
        <f t="shared" si="3"/>
        <v>0</v>
      </c>
      <c r="L33" s="201">
        <f t="shared" si="3"/>
        <v>0</v>
      </c>
      <c r="M33" s="201">
        <f t="shared" si="3"/>
        <v>0</v>
      </c>
      <c r="N33" s="201">
        <f t="shared" si="3"/>
        <v>0</v>
      </c>
      <c r="O33" s="201">
        <f t="shared" si="3"/>
        <v>1154</v>
      </c>
      <c r="P33" s="201">
        <f t="shared" si="3"/>
        <v>0</v>
      </c>
      <c r="Q33" s="201">
        <f t="shared" si="3"/>
        <v>0</v>
      </c>
      <c r="R33" s="201">
        <f t="shared" si="3"/>
        <v>0</v>
      </c>
      <c r="S33" s="201">
        <f t="shared" si="3"/>
        <v>0</v>
      </c>
      <c r="T33" s="201">
        <f>SUM(T13:T32)</f>
        <v>0</v>
      </c>
      <c r="U33" s="201">
        <f>SUM(U13:U32)</f>
        <v>0</v>
      </c>
      <c r="V33" s="201">
        <f t="shared" si="3"/>
        <v>-754385</v>
      </c>
      <c r="W33" s="201">
        <f t="shared" si="3"/>
        <v>165453</v>
      </c>
      <c r="X33" s="201">
        <f t="shared" si="0"/>
        <v>380518151</v>
      </c>
      <c r="Y33" s="201">
        <f>SUM(Y13:Y32)</f>
        <v>0</v>
      </c>
      <c r="Z33" s="201">
        <f t="shared" si="1"/>
        <v>380518151</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v>378463000</v>
      </c>
      <c r="J39" s="21">
        <v>2642929</v>
      </c>
      <c r="K39" s="21"/>
      <c r="L39" s="21"/>
      <c r="M39" s="21"/>
      <c r="N39" s="21"/>
      <c r="O39" s="21">
        <v>1154</v>
      </c>
      <c r="P39" s="21"/>
      <c r="Q39" s="21"/>
      <c r="R39" s="21"/>
      <c r="S39" s="21"/>
      <c r="T39" s="21"/>
      <c r="U39" s="21"/>
      <c r="V39" s="21">
        <v>-754385</v>
      </c>
      <c r="W39" s="21">
        <v>165453</v>
      </c>
      <c r="X39" s="202">
        <f aca="true" t="shared" si="10" ref="X39:X62">SUM(I39:L39)-M39+SUM(N39:W39)</f>
        <v>380518151</v>
      </c>
      <c r="Y39" s="21"/>
      <c r="Z39" s="202">
        <f t="shared" si="1"/>
        <v>380518151</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378463000</v>
      </c>
      <c r="J42" s="202">
        <f t="shared" si="11"/>
        <v>2642929</v>
      </c>
      <c r="K42" s="202">
        <f t="shared" si="11"/>
        <v>0</v>
      </c>
      <c r="L42" s="202">
        <f t="shared" si="11"/>
        <v>0</v>
      </c>
      <c r="M42" s="202">
        <f t="shared" si="11"/>
        <v>0</v>
      </c>
      <c r="N42" s="202">
        <f t="shared" si="11"/>
        <v>0</v>
      </c>
      <c r="O42" s="202">
        <f t="shared" si="11"/>
        <v>1154</v>
      </c>
      <c r="P42" s="202">
        <f t="shared" si="11"/>
        <v>0</v>
      </c>
      <c r="Q42" s="202">
        <f t="shared" si="11"/>
        <v>0</v>
      </c>
      <c r="R42" s="202">
        <f t="shared" si="11"/>
        <v>0</v>
      </c>
      <c r="S42" s="202">
        <f t="shared" si="11"/>
        <v>0</v>
      </c>
      <c r="T42" s="202">
        <f>SUM(T39:T41)</f>
        <v>0</v>
      </c>
      <c r="U42" s="202">
        <f>SUM(U39:U41)</f>
        <v>0</v>
      </c>
      <c r="V42" s="202">
        <f t="shared" si="11"/>
        <v>-754385</v>
      </c>
      <c r="W42" s="202">
        <f t="shared" si="11"/>
        <v>165453</v>
      </c>
      <c r="X42" s="202">
        <f t="shared" si="10"/>
        <v>380518151</v>
      </c>
      <c r="Y42" s="202">
        <f>SUM(Y39:Y41)</f>
        <v>0</v>
      </c>
      <c r="Z42" s="202">
        <f>Y42+X42</f>
        <v>380518151</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v>2923926</v>
      </c>
      <c r="X43" s="202">
        <f t="shared" si="10"/>
        <v>2923926</v>
      </c>
      <c r="Y43" s="21"/>
      <c r="Z43" s="202">
        <f t="shared" si="1"/>
        <v>2923926</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v>778472</v>
      </c>
      <c r="K51" s="21"/>
      <c r="L51" s="21"/>
      <c r="M51" s="21"/>
      <c r="N51" s="21"/>
      <c r="O51" s="21"/>
      <c r="P51" s="21"/>
      <c r="Q51" s="21"/>
      <c r="R51" s="21"/>
      <c r="S51" s="21"/>
      <c r="T51" s="21"/>
      <c r="U51" s="21"/>
      <c r="V51" s="21"/>
      <c r="W51" s="21"/>
      <c r="X51" s="202">
        <f t="shared" si="10"/>
        <v>778472</v>
      </c>
      <c r="Y51" s="21"/>
      <c r="Z51" s="202">
        <f t="shared" si="1"/>
        <v>778472</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v>165453</v>
      </c>
      <c r="W60" s="21">
        <v>-165453</v>
      </c>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378463000</v>
      </c>
      <c r="J62" s="201">
        <f t="shared" si="12"/>
        <v>3421401</v>
      </c>
      <c r="K62" s="201">
        <f t="shared" si="12"/>
        <v>0</v>
      </c>
      <c r="L62" s="201">
        <f t="shared" si="12"/>
        <v>0</v>
      </c>
      <c r="M62" s="201">
        <f t="shared" si="12"/>
        <v>0</v>
      </c>
      <c r="N62" s="201">
        <f t="shared" si="12"/>
        <v>0</v>
      </c>
      <c r="O62" s="201">
        <f t="shared" si="12"/>
        <v>1154</v>
      </c>
      <c r="P62" s="201">
        <f t="shared" si="12"/>
        <v>0</v>
      </c>
      <c r="Q62" s="201">
        <f t="shared" si="12"/>
        <v>0</v>
      </c>
      <c r="R62" s="201">
        <f t="shared" si="12"/>
        <v>0</v>
      </c>
      <c r="S62" s="201">
        <f t="shared" si="12"/>
        <v>0</v>
      </c>
      <c r="T62" s="201">
        <f>SUM(T42:T61)</f>
        <v>0</v>
      </c>
      <c r="U62" s="201">
        <f>SUM(U42:U61)</f>
        <v>0</v>
      </c>
      <c r="V62" s="201">
        <f t="shared" si="12"/>
        <v>-588932</v>
      </c>
      <c r="W62" s="201">
        <f t="shared" si="12"/>
        <v>2923926</v>
      </c>
      <c r="X62" s="201">
        <f t="shared" si="10"/>
        <v>384220549</v>
      </c>
      <c r="Y62" s="201">
        <f>SUM(Y42:Y61)</f>
        <v>0</v>
      </c>
      <c r="Z62" s="201">
        <f t="shared" si="1"/>
        <v>384220549</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Zvjezdana Ponoš</cp:lastModifiedBy>
  <cp:lastPrinted>2023-04-25T12:30:35Z</cp:lastPrinted>
  <dcterms:created xsi:type="dcterms:W3CDTF">2008-10-17T11:51:54Z</dcterms:created>
  <dcterms:modified xsi:type="dcterms:W3CDTF">2023-05-17T06:24:58Z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