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813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<sst xmlns="http://schemas.openxmlformats.org/spreadsheetml/2006/main" count="3785" uniqueCount="2991">
  <si>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</si>
  <si>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</si>
  <si>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</si>
  <si>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</si>
  <si>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</si>
  <si>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</si>
  <si>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</si>
  <si>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</si>
  <si>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</si>
  <si>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</si>
  <si>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</si>
  <si>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</si>
  <si>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</si>
  <si>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</si>
  <si>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</si>
  <si>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</si>
  <si>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</si>
  <si>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</si>
  <si>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</si>
  <si>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</si>
  <si>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</si>
  <si>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</si>
  <si>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</si>
  <si>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</si>
  <si>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</si>
  <si>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</si>
  <si>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</si>
  <si>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</si>
  <si>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</si>
  <si>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</si>
  <si>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</si>
  <si>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</si>
  <si>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</si>
  <si>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</si>
  <si>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</si>
  <si>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</si>
  <si>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</si>
  <si>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</si>
  <si>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</si>
  <si>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</si>
  <si>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</si>
  <si>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</si>
  <si>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</si>
  <si>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</si>
  <si>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</si>
  <si>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</si>
  <si>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</si>
  <si>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</si>
  <si>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</si>
  <si>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</si>
  <si>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</si>
  <si>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</si>
  <si>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</si>
  <si>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</si>
  <si>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</si>
  <si>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</si>
  <si>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</si>
  <si>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</si>
  <si>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</si>
  <si>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</si>
  <si>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</si>
  <si>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</si>
  <si>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</si>
  <si>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</si>
  <si>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</si>
  <si>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</si>
  <si>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</si>
  <si>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</si>
  <si>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</si>
  <si>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</si>
  <si>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</si>
  <si>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</si>
  <si>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</si>
  <si>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</si>
  <si>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</si>
  <si>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</si>
  <si>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</si>
  <si>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</si>
  <si>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</si>
  <si>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</si>
  <si>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</si>
  <si>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</si>
  <si>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</si>
  <si>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</si>
  <si>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</si>
  <si>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</si>
  <si>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</si>
  <si>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</si>
  <si>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</si>
  <si>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</si>
  <si>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</si>
  <si>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</si>
  <si>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</si>
  <si>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</si>
  <si>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</si>
  <si>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</si>
  <si>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</si>
  <si>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</si>
  <si>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</si>
  <si>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</si>
  <si>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</si>
  <si>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</si>
  <si>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</si>
  <si>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</si>
  <si>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</si>
  <si>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</si>
  <si>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</si>
  <si>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</si>
  <si>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</si>
  <si>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</si>
  <si>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</si>
  <si>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</si>
  <si>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</si>
  <si>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</si>
  <si>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</si>
  <si>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</si>
  <si>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</si>
  <si>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</si>
  <si>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</si>
  <si>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</si>
  <si>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</si>
  <si>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</si>
  <si>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</si>
  <si>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</si>
  <si>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</si>
  <si>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</si>
  <si>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</si>
  <si>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</si>
  <si>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</si>
  <si>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</si>
  <si>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</si>
  <si>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</si>
  <si>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</si>
  <si>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</si>
  <si>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</si>
  <si>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</si>
  <si>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</si>
  <si>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</si>
  <si>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</si>
  <si>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</si>
  <si>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</si>
  <si>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</si>
  <si>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</si>
  <si>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</si>
  <si>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</si>
  <si>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</si>
  <si>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</si>
  <si>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</si>
  <si>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</si>
  <si>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</si>
  <si>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</si>
  <si>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</si>
  <si>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</si>
  <si>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</si>
  <si>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</si>
  <si>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</si>
  <si>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</si>
  <si>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</si>
  <si>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</si>
  <si>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</si>
  <si>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</si>
  <si>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</si>
  <si>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</si>
  <si>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</si>
  <si>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</si>
  <si>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</si>
  <si>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</si>
  <si>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</si>
  <si>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</si>
  <si>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</si>
  <si>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</si>
  <si>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</si>
  <si>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</si>
  <si>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</si>
  <si>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</si>
  <si>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</si>
  <si>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</si>
  <si>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</si>
  <si>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</si>
  <si>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</si>
  <si>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</si>
  <si>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</si>
  <si>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</si>
  <si>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</si>
  <si>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</si>
  <si>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</si>
  <si>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</si>
  <si>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</si>
  <si>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</si>
  <si>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</si>
  <si>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</si>
  <si>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</si>
  <si>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</si>
  <si>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</si>
  <si>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</si>
  <si>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</si>
  <si>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</si>
  <si>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</si>
  <si>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</si>
  <si>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</si>
  <si>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</si>
  <si>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</si>
  <si>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</si>
  <si>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</si>
  <si>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</si>
  <si>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</si>
  <si>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</si>
  <si>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</si>
  <si>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</si>
  <si>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</si>
  <si>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</si>
  <si>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</si>
  <si>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</si>
  <si>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</si>
  <si>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</si>
  <si>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</si>
  <si>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</si>
  <si>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</si>
  <si>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</si>
  <si>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</si>
  <si>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</si>
  <si>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</si>
  <si>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</si>
  <si>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</si>
  <si>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</si>
  <si>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</si>
  <si>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</si>
  <si>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</si>
  <si>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</si>
  <si>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</si>
  <si>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</si>
  <si>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</si>
  <si>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</si>
  <si>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</si>
  <si>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</si>
  <si>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</si>
  <si>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</si>
  <si>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</si>
  <si>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</si>
  <si>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</si>
  <si>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</si>
  <si>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</si>
  <si>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</si>
  <si>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</si>
  <si>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</si>
  <si>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</si>
  <si>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</si>
  <si>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</si>
  <si>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</si>
  <si>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</si>
  <si>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</si>
  <si>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</si>
  <si>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</si>
  <si>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</si>
  <si>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</si>
  <si>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</si>
  <si>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</si>
  <si>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</si>
  <si>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</si>
  <si>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</si>
  <si>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</si>
  <si>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</si>
  <si>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</si>
  <si>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</si>
  <si>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</si>
  <si>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</si>
  <si>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</si>
  <si>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</si>
  <si>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</si>
  <si>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</si>
  <si>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</si>
  <si>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</si>
  <si>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</si>
  <si>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</si>
  <si>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</si>
  <si>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</si>
  <si>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</si>
  <si>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</si>
  <si>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</si>
  <si>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</si>
  <si>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</si>
  <si>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</si>
  <si>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</si>
  <si>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</si>
  <si>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</si>
  <si>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</si>
  <si>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</si>
  <si>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</si>
  <si>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</si>
  <si>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</si>
  <si>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</si>
  <si>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</si>
  <si>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</si>
  <si>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</si>
  <si>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</si>
  <si>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</si>
  <si>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</si>
  <si>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</si>
  <si>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</si>
  <si>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</si>
  <si>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</si>
  <si>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</si>
  <si>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</si>
  <si>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</si>
  <si>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</si>
  <si>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</si>
  <si>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</si>
  <si>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</si>
  <si>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</si>
  <si>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</si>
  <si>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</si>
  <si>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</si>
  <si>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</si>
  <si>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</si>
  <si>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</si>
  <si>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</si>
  <si>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</si>
  <si>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</si>
  <si>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</si>
  <si>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</si>
  <si>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</si>
  <si>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</si>
  <si>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</si>
  <si>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</si>
  <si>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</si>
  <si>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</si>
  <si>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</si>
  <si>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</si>
  <si>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</si>
  <si>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</si>
  <si>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</si>
  <si>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</si>
  <si>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</si>
  <si>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</si>
  <si>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</si>
  <si>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</si>
  <si>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</si>
  <si>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</si>
  <si>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</si>
  <si>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</si>
  <si>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</si>
  <si>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</si>
  <si>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</si>
  <si>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</si>
  <si>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</si>
  <si>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</si>
  <si>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</si>
  <si>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</si>
  <si>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</si>
  <si>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</si>
  <si>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</si>
  <si>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</si>
  <si>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</si>
  <si>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</si>
  <si>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</si>
  <si>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</si>
  <si>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</si>
  <si>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</si>
  <si>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</si>
  <si>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</si>
  <si>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</si>
  <si>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</si>
  <si>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</si>
  <si>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</si>
  <si>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</si>
  <si>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</si>
  <si>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</si>
  <si>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</si>
  <si>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</si>
  <si>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</si>
  <si>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</si>
  <si>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</si>
  <si>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</si>
  <si>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</si>
  <si>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</si>
  <si>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</si>
  <si>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</si>
  <si>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</si>
  <si>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</si>
  <si>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</si>
  <si>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</si>
  <si>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</si>
  <si>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</si>
  <si>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</si>
  <si>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</si>
  <si>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</si>
  <si>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</si>
  <si>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</si>
  <si>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</si>
  <si>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</si>
  <si>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</si>
  <si>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</si>
  <si>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</si>
  <si>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</si>
  <si>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</si>
  <si>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</si>
  <si>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</si>
  <si>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</si>
  <si>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</si>
  <si>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</si>
  <si>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</si>
  <si>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</si>
  <si>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</si>
  <si>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</si>
  <si>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</si>
  <si>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</si>
  <si>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</si>
  <si>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</si>
  <si>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</si>
  <si>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</si>
  <si>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</si>
  <si>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</si>
  <si>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</si>
  <si>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</si>
  <si>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</si>
  <si>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</si>
  <si>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</si>
  <si>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</si>
  <si>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</si>
  <si>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</si>
  <si>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</si>
  <si>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</si>
  <si>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</si>
  <si>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</si>
  <si>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</si>
  <si>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</si>
  <si>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</si>
  <si>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</si>
  <si>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</si>
  <si>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</si>
  <si>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</si>
  <si>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</si>
  <si>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</si>
  <si>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</si>
  <si>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</si>
  <si>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</si>
  <si>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</si>
  <si>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</si>
  <si>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</si>
  <si>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</si>
  <si>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</si>
  <si>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</si>
  <si>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</si>
  <si>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</si>
  <si>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</si>
  <si>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</si>
  <si>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</si>
  <si>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</si>
  <si>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</si>
  <si>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</si>
  <si>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</si>
  <si>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</si>
  <si>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</si>
  <si>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</si>
  <si>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</si>
  <si>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</si>
  <si>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</si>
  <si>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</si>
  <si>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</si>
  <si>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</si>
  <si>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</si>
  <si>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</si>
  <si>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</si>
  <si>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</si>
  <si>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</si>
  <si>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</si>
  <si>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</si>
  <si>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</si>
  <si>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</si>
  <si>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</si>
  <si>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</si>
  <si>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</si>
  <si>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</si>
  <si>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</si>
  <si>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</si>
  <si>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</si>
  <si>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</si>
  <si>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</si>
  <si>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</si>
  <si>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</si>
  <si>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</si>
  <si>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</si>
  <si>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</si>
  <si>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</si>
  <si>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</si>
  <si>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</si>
  <si>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</si>
  <si>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</si>
  <si>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</si>
  <si>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</si>
  <si>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</si>
  <si>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</si>
  <si>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</si>
  <si>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</si>
  <si>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</si>
  <si>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</si>
  <si>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</si>
  <si>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</si>
  <si>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</si>
  <si>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</si>
  <si>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</si>
  <si>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</si>
  <si>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</si>
  <si>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</si>
  <si>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</si>
  <si>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</si>
  <si>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</si>
  <si>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</si>
  <si>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</si>
  <si>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</si>
  <si>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</si>
  <si>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</si>
  <si>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</si>
  <si>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</si>
  <si>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</si>
  <si>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</si>
  <si>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</si>
  <si>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</si>
  <si>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</si>
  <si>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</si>
  <si>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</si>
  <si>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</si>
  <si>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</si>
  <si>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</si>
  <si>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</si>
  <si>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</si>
  <si>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</si>
  <si>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</si>
  <si>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</si>
  <si>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</si>
  <si>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</si>
  <si>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</si>
  <si>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</si>
  <si>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</si>
  <si>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</si>
  <si>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</si>
  <si>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</si>
  <si>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</si>
  <si>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</si>
  <si>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</si>
  <si>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</si>
  <si>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</si>
  <si>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</si>
  <si>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</si>
  <si>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</si>
  <si>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</si>
  <si>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</si>
  <si>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</si>
  <si>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</si>
  <si>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</si>
  <si>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</si>
  <si>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</si>
  <si>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</si>
  <si>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</si>
  <si>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</si>
  <si>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</si>
  <si>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</si>
  <si>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</si>
  <si>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</si>
  <si>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</si>
  <si>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</si>
  <si>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</si>
  <si>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</si>
  <si>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</si>
  <si>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</si>
  <si>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</si>
  <si>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</si>
  <si>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</si>
  <si>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</si>
  <si>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</si>
  <si>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</si>
  <si>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</si>
  <si>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</si>
  <si>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</si>
  <si>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</si>
  <si>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</si>
  <si>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</si>
  <si>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</si>
  <si>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</si>
  <si>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</si>
  <si>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</si>
  <si>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</si>
  <si>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</si>
  <si>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</si>
  <si>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</si>
  <si>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</si>
  <si>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</si>
  <si>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</si>
  <si>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</si>
  <si>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</si>
  <si>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</si>
  <si>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</si>
  <si>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</si>
  <si>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</si>
  <si>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</si>
  <si>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</si>
  <si>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</si>
  <si>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</si>
  <si>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</si>
  <si>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</si>
  <si>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</si>
  <si>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</si>
  <si>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</si>
  <si>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</si>
  <si>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</si>
  <si>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</si>
  <si>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</si>
  <si>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</si>
  <si>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</si>
  <si>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</si>
  <si>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</si>
  <si>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</si>
  <si>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</si>
  <si>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</si>
  <si>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</si>
  <si>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</si>
  <si>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</si>
  <si>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</si>
  <si>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</si>
  <si>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</si>
  <si>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</si>
  <si>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</si>
  <si>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</si>
  <si>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</si>
  <si>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</si>
  <si>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</si>
  <si>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</si>
  <si>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</si>
  <si>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</si>
  <si>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</si>
  <si>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</si>
  <si>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</si>
  <si>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</si>
  <si>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</si>
  <si>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</si>
  <si>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</si>
  <si>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</si>
  <si>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</si>
  <si>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</si>
  <si>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</si>
  <si>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</si>
  <si>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</si>
  <si>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</si>
  <si>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</si>
  <si>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</si>
  <si>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</si>
  <si>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</si>
  <si>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</si>
  <si>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</si>
  <si>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</si>
  <si>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</si>
  <si>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</si>
  <si>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</si>
  <si>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</si>
  <si>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</si>
  <si>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</si>
  <si>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</si>
  <si>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</si>
  <si>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</si>
  <si>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</si>
  <si>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</si>
  <si>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</si>
  <si>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</si>
  <si>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</si>
  <si>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</si>
  <si>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</si>
  <si>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</si>
  <si>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</si>
  <si>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</si>
  <si>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</si>
  <si>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</si>
  <si>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</si>
  <si>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</si>
  <si>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</si>
  <si>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</si>
  <si>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</si>
  <si>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</si>
  <si>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</si>
  <si>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</si>
  <si>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</si>
  <si>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</si>
  <si>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</si>
  <si>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</si>
  <si>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</si>
  <si>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</si>
  <si>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</si>
  <si>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</si>
  <si>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</si>
  <si>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</si>
  <si>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</si>
  <si>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</si>
  <si>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</si>
  <si>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</si>
  <si>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</si>
  <si>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</si>
  <si>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</si>
  <si>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</si>
  <si>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</si>
  <si>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</si>
  <si>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</si>
  <si>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</si>
  <si>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</si>
  <si>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</si>
  <si>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</si>
  <si>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</si>
  <si>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</si>
  <si>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</si>
  <si>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</si>
  <si>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</si>
  <si>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</si>
  <si>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</si>
  <si>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</si>
  <si>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</si>
  <si>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</si>
  <si>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</si>
  <si>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</si>
  <si>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</si>
  <si>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</si>
  <si>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</si>
  <si>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</si>
  <si>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</si>
  <si>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</si>
  <si>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</si>
  <si>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</si>
  <si>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</si>
  <si>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</si>
  <si>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</si>
  <si>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</si>
  <si>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</si>
  <si>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</si>
  <si>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</si>
  <si>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</si>
  <si>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</si>
  <si>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</si>
  <si>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</si>
  <si>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</si>
  <si>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</si>
  <si>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</si>
  <si>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</si>
  <si>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</si>
  <si>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</si>
  <si>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</si>
  <si>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</si>
  <si>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</si>
  <si>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</si>
  <si>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</si>
  <si>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</si>
  <si>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</si>
  <si>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</si>
  <si>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</si>
  <si>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</si>
  <si>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</si>
  <si>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</si>
  <si>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</si>
  <si>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</si>
  <si>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</si>
  <si>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</si>
  <si>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</si>
  <si>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</si>
  <si>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</si>
  <si>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</si>
  <si>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</si>
  <si>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</si>
  <si>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</si>
  <si>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</si>
  <si>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</si>
  <si>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</si>
  <si>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</si>
  <si>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</si>
  <si>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</si>
  <si>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</si>
  <si>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</si>
  <si>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</si>
  <si>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</si>
  <si>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</si>
  <si>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</si>
  <si>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</si>
  <si>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</si>
  <si>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</si>
  <si>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</si>
  <si>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</si>
  <si>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</si>
  <si>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</si>
  <si>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</si>
  <si>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</si>
  <si>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</si>
  <si>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</si>
  <si>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</si>
  <si>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</si>
  <si>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</si>
  <si>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</si>
  <si>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</si>
  <si>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</si>
  <si>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</si>
  <si>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</si>
  <si>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</si>
  <si>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</si>
  <si>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</si>
  <si>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</si>
  <si>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</si>
  <si>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</si>
  <si>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</si>
  <si>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</si>
  <si>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</si>
  <si>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</si>
  <si>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</si>
  <si>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</si>
  <si>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</si>
  <si>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</si>
  <si>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</si>
  <si>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</si>
  <si>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</si>
  <si>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</si>
  <si>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</si>
  <si>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</si>
  <si>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</si>
  <si>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</si>
  <si>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</si>
  <si>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</si>
  <si>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</si>
  <si>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</si>
  <si>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</si>
  <si>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</si>
  <si>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</si>
  <si>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</si>
  <si>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</si>
  <si>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</si>
  <si>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</si>
  <si>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</si>
  <si>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</si>
  <si>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</si>
  <si>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</si>
  <si>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</si>
  <si>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</si>
  <si>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</si>
  <si>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</si>
  <si>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</si>
  <si>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</si>
  <si>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</si>
  <si>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</si>
  <si>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</si>
  <si>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</si>
  <si>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</si>
  <si>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</si>
  <si>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</si>
  <si>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</si>
  <si>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</si>
  <si>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</si>
  <si>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</si>
  <si>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</si>
  <si>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</si>
  <si>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</si>
  <si>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</si>
  <si>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</si>
  <si>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</si>
  <si>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</si>
  <si>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</si>
  <si>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</si>
  <si>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</si>
  <si>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</si>
  <si>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</si>
  <si>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</si>
  <si>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</si>
  <si>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</si>
  <si>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</si>
  <si>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</si>
  <si>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</si>
  <si>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</si>
  <si>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</si>
  <si>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</si>
  <si>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</si>
  <si>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</si>
  <si>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</si>
  <si>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</si>
  <si>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</si>
  <si>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</si>
  <si>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</si>
  <si>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</si>
  <si>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</si>
  <si>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</si>
  <si>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</si>
  <si>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</si>
  <si>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</si>
  <si>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</si>
  <si>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</si>
  <si>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</si>
  <si>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</si>
  <si>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</si>
  <si>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</si>
  <si>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</si>
  <si>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</si>
  <si>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</si>
  <si>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</si>
  <si>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</si>
  <si>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</si>
  <si>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</si>
  <si>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</si>
  <si>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</si>
  <si>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</si>
  <si>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</si>
  <si>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</si>
  <si>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</si>
  <si>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</si>
  <si>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</si>
  <si>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</si>
  <si>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</si>
  <si>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</si>
  <si>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</si>
  <si>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</si>
  <si>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</si>
  <si>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</si>
  <si>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</si>
  <si>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</si>
  <si>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</si>
  <si>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</si>
  <si>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</si>
  <si>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</si>
  <si>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</si>
  <si>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</si>
  <si>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</si>
  <si>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</si>
  <si>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</si>
  <si>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</si>
  <si>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</si>
  <si>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</si>
  <si>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</si>
  <si>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</si>
  <si>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</si>
  <si>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</si>
  <si>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</si>
  <si>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</si>
  <si>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</si>
  <si>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</si>
  <si>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</si>
  <si>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</si>
  <si>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</si>
  <si>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</si>
  <si>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</si>
  <si>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</si>
  <si>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</si>
  <si>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</si>
  <si>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</si>
  <si>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</si>
  <si>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</si>
  <si>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</si>
  <si>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</si>
  <si>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</si>
  <si>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</si>
  <si>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</si>
  <si>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</si>
  <si>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</si>
  <si>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</si>
  <si>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</si>
  <si>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</si>
  <si>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</si>
  <si>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</si>
  <si>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</si>
  <si>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</si>
  <si>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</si>
  <si>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</si>
  <si>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</si>
  <si>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</si>
  <si>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</si>
  <si>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</si>
  <si>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</si>
  <si>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</si>
  <si>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</si>
  <si>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</si>
  <si>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</si>
  <si>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</si>
  <si>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</si>
  <si>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</si>
  <si>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</si>
  <si>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</si>
  <si>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</si>
  <si>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</si>
  <si>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</si>
  <si>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</si>
  <si>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</si>
  <si>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</si>
  <si>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</si>
  <si>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</si>
  <si>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</si>
  <si>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</si>
  <si>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</si>
  <si>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</si>
  <si>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</si>
  <si>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</si>
  <si>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</si>
  <si>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</si>
  <si>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</si>
  <si>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</si>
  <si>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</si>
  <si>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</si>
  <si>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</si>
  <si>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</si>
  <si>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</si>
  <si>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</si>
  <si>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</si>
  <si>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</si>
  <si>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</si>
  <si>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</si>
  <si>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</si>
  <si>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</si>
  <si>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</si>
  <si>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</si>
  <si>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</si>
  <si>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</si>
  <si>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</si>
  <si>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</si>
  <si>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</si>
  <si>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</si>
  <si>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</si>
  <si>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</si>
  <si>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</si>
  <si>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</si>
  <si>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</si>
  <si>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</si>
  <si>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</si>
  <si>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</si>
  <si>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</si>
  <si>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</si>
  <si>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</si>
  <si>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</si>
  <si>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</si>
  <si>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</si>
  <si>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</si>
  <si>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</si>
  <si>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</si>
  <si>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</si>
  <si>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</si>
  <si>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</si>
  <si>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</si>
  <si>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</si>
  <si>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</si>
  <si>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</si>
  <si>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</si>
  <si>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</si>
  <si>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</si>
  <si>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</si>
  <si>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</si>
  <si>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</si>
  <si>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</si>
  <si>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</si>
  <si>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</si>
  <si>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</si>
  <si>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</si>
  <si>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</si>
  <si>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</si>
  <si>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</si>
  <si>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</si>
  <si>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</si>
  <si>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</si>
  <si>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</si>
  <si>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</si>
  <si>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</si>
  <si>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</si>
  <si>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</si>
  <si>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</si>
  <si>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</si>
  <si>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</si>
  <si>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</si>
  <si>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</si>
  <si>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</si>
  <si>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</si>
  <si>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</si>
  <si>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</si>
  <si>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</si>
  <si>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</si>
  <si>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</si>
  <si>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</si>
  <si>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</si>
  <si>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</si>
  <si>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</si>
  <si>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</si>
  <si>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</si>
  <si>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</si>
  <si>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</si>
  <si>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</si>
  <si>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</si>
  <si>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</si>
  <si>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</si>
  <si>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</si>
  <si>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</si>
  <si>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</si>
  <si>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</si>
  <si>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</si>
  <si>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</si>
  <si>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</si>
  <si>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</si>
  <si>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</si>
  <si>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</si>
  <si>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</si>
  <si>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</si>
  <si>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</si>
  <si>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</si>
  <si>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</si>
  <si>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</si>
  <si>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</si>
  <si>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</si>
  <si>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</si>
  <si>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</si>
  <si>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</si>
  <si>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</si>
  <si>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</si>
  <si>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</si>
  <si>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</si>
  <si>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</si>
  <si>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</si>
  <si>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</si>
  <si>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</si>
  <si>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</si>
  <si>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</si>
  <si>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</si>
  <si>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</si>
  <si>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</si>
  <si>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</si>
  <si>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</si>
  <si>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</si>
  <si>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</si>
  <si>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</si>
  <si>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</si>
  <si>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</si>
  <si>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</si>
  <si>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</si>
  <si>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</si>
  <si>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</si>
  <si>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</si>
  <si>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</si>
  <si>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</si>
  <si>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</si>
  <si>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</si>
  <si>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</si>
  <si>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</si>
  <si>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</si>
  <si>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</si>
  <si>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</si>
  <si>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</si>
  <si>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</si>
  <si>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</si>
  <si>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</si>
  <si>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</si>
  <si>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</si>
  <si>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</si>
  <si>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</si>
  <si>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</si>
  <si>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</si>
  <si>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</si>
  <si>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</si>
  <si>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</si>
  <si>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</si>
  <si>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</si>
  <si>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</si>
  <si>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</si>
  <si>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</si>
  <si>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</si>
  <si>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</si>
  <si>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</si>
  <si>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</si>
  <si>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</si>
  <si>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</si>
  <si>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</si>
  <si>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</si>
  <si>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</si>
  <si>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</si>
  <si>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</si>
  <si>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</si>
  <si>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</si>
  <si>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</si>
  <si>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</si>
  <si>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</si>
  <si>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</si>
  <si>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</si>
  <si>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</si>
  <si>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</si>
  <si>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</si>
  <si>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</si>
  <si>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</si>
  <si>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</si>
  <si>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</si>
  <si>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</si>
  <si>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</si>
  <si>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</si>
  <si>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</si>
  <si>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</si>
  <si>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</si>
  <si>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</si>
  <si>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</si>
  <si>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</si>
  <si>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</si>
  <si>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</si>
  <si>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</si>
  <si>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</si>
  <si>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</si>
  <si>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</si>
  <si>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</si>
  <si>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</si>
  <si>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</si>
  <si>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</si>
  <si>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</si>
  <si>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</si>
  <si>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</si>
  <si>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</si>
  <si>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</si>
  <si>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</si>
  <si>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</si>
  <si>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</si>
  <si>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</si>
  <si>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</si>
  <si>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</si>
  <si>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</si>
  <si>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</si>
  <si>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</si>
  <si>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</si>
  <si>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</si>
  <si>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</si>
  <si>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</si>
  <si>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</si>
  <si>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</si>
  <si>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</si>
  <si>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</si>
  <si>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</si>
  <si>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</si>
  <si>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</si>
  <si>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</si>
  <si>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</si>
  <si>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</si>
  <si>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</si>
  <si>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</si>
  <si>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</si>
  <si>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</si>
  <si>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</si>
  <si>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</si>
  <si>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</si>
  <si>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</si>
  <si>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</si>
  <si>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</si>
  <si>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</si>
  <si>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</si>
  <si>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</si>
  <si>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</si>
  <si>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</si>
  <si>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</si>
  <si>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</si>
  <si>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</si>
  <si>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</si>
  <si>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</si>
  <si>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</si>
  <si>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</si>
  <si>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</si>
  <si>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</si>
  <si>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</si>
  <si>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</si>
  <si>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</si>
  <si>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</si>
  <si>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</si>
  <si>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</si>
  <si>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</si>
  <si>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</si>
  <si>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</si>
  <si>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</si>
  <si>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</si>
  <si>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</si>
  <si>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</si>
  <si>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</si>
  <si>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</si>
  <si>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</si>
  <si>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</si>
  <si>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</si>
  <si>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</si>
  <si>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</si>
  <si>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</si>
  <si>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</si>
  <si>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</si>
  <si>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</si>
  <si>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</si>
  <si>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</si>
  <si>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</si>
  <si>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</si>
  <si>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</si>
  <si>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</si>
  <si>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</si>
  <si>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</si>
  <si>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</si>
  <si>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</si>
  <si>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</si>
  <si>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</si>
  <si>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</si>
  <si>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</si>
  <si>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</si>
  <si>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</si>
  <si>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</si>
  <si>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</si>
  <si>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</si>
  <si>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</si>
  <si>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</si>
  <si>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</si>
  <si>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</si>
  <si>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</si>
  <si>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</si>
  <si>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</si>
  <si>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</si>
  <si>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</si>
  <si>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</si>
  <si>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</si>
  <si>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</si>
  <si>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</si>
  <si>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</si>
  <si>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</si>
  <si>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</si>
  <si>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</si>
  <si>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</si>
  <si>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</si>
  <si>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</si>
  <si>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</si>
  <si>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</si>
  <si>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</si>
  <si>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</si>
  <si>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</si>
  <si>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</si>
  <si>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</si>
  <si>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</si>
  <si>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</si>
  <si>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</si>
  <si>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</si>
  <si>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</si>
  <si>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</si>
  <si>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</si>
  <si>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</si>
  <si>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</si>
  <si>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</si>
  <si>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</si>
  <si>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</si>
  <si>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</si>
  <si>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</si>
  <si>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</si>
  <si>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</si>
  <si>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</si>
  <si>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</si>
  <si>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</si>
  <si>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</si>
  <si>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</si>
  <si>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</si>
  <si>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</si>
  <si>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</si>
  <si>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</si>
  <si>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</si>
  <si>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</si>
  <si>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</si>
  <si>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</si>
  <si>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</si>
  <si>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</si>
  <si>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</si>
  <si>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</si>
  <si>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</si>
  <si>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</si>
  <si>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</si>
  <si>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</si>
  <si>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</si>
  <si>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</si>
  <si>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</si>
  <si>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</si>
  <si>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</si>
  <si>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</si>
  <si>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</si>
  <si>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</si>
  <si>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</si>
  <si>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</si>
  <si>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</si>
  <si>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</si>
  <si>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</si>
  <si>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</si>
  <si>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</si>
  <si>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</si>
  <si>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</si>
  <si>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</si>
  <si>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</si>
  <si>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</si>
  <si>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</si>
  <si>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</si>
  <si>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</si>
  <si>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</si>
  <si>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</si>
  <si>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</si>
  <si>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</si>
  <si>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</si>
  <si>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</si>
  <si>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</si>
  <si>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</si>
  <si>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</si>
  <si>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</si>
  <si>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</si>
  <si>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</si>
  <si>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</si>
  <si>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</si>
  <si>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</si>
  <si>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</si>
  <si>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</si>
  <si>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</si>
  <si>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</si>
  <si>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</si>
  <si>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</si>
  <si>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</si>
  <si>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</si>
  <si>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</si>
  <si>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</si>
  <si>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</si>
  <si>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</si>
  <si>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</si>
  <si>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</si>
  <si>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</si>
  <si>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</si>
  <si>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</si>
  <si>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</si>
  <si>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</si>
  <si>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</si>
  <si>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</si>
  <si>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</si>
  <si>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</si>
  <si>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</si>
  <si>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</si>
  <si>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</si>
  <si>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</si>
  <si>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</si>
  <si>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</si>
  <si>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</si>
  <si>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</si>
  <si>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</si>
  <si>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</si>
  <si>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</si>
  <si>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</si>
  <si>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</si>
  <si>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</si>
  <si>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</si>
  <si>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</si>
  <si>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</si>
  <si>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</si>
  <si>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</si>
  <si>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</si>
  <si>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</si>
  <si>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</si>
  <si>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</si>
  <si>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</si>
  <si>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</si>
  <si>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</si>
  <si>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</si>
  <si>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</si>
  <si>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</si>
  <si>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</si>
  <si>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</si>
  <si>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</si>
  <si>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</si>
  <si>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</si>
  <si>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</si>
  <si>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</si>
  <si>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</si>
  <si>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</si>
  <si>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</si>
  <si>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</si>
  <si>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</si>
  <si>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</si>
  <si>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</si>
  <si>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</si>
  <si>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</si>
  <si>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</si>
  <si>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</si>
  <si>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</si>
  <si>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</si>
  <si>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</si>
  <si>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</si>
  <si>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</si>
  <si>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</si>
  <si>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</si>
  <si>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</si>
  <si>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</si>
  <si>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</si>
  <si>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</si>
  <si>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</si>
  <si>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</si>
  <si>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</si>
  <si>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</si>
  <si>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</si>
  <si>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</si>
  <si>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</si>
  <si>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</si>
  <si>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</si>
  <si>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</si>
  <si>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</si>
  <si>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</si>
  <si>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</si>
  <si>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</si>
  <si>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</si>
  <si>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</si>
  <si>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</si>
  <si>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</si>
  <si>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</si>
  <si>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</si>
  <si>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</si>
  <si>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</si>
  <si>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</si>
  <si>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</si>
  <si>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</si>
  <si>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</si>
  <si>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</si>
  <si>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</si>
  <si>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</si>
  <si>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</si>
  <si>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</si>
  <si>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</si>
  <si>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</si>
  <si>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</si>
  <si>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</si>
  <si>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</si>
  <si>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</si>
  <si>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</si>
  <si>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</si>
  <si>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</si>
  <si>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</si>
  <si>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</si>
  <si>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</si>
  <si>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</si>
  <si>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</si>
  <si>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</si>
  <si>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</si>
  <si>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</si>
  <si>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</si>
  <si>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</si>
  <si>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</si>
  <si>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</si>
  <si>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</si>
  <si>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</si>
  <si>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</si>
  <si>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</si>
  <si>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</si>
  <si>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</si>
  <si>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</si>
  <si>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</si>
  <si>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</si>
  <si>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</si>
  <si>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</si>
  <si>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</si>
  <si>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</si>
  <si>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</si>
  <si>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</si>
  <si>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</si>
  <si>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</si>
  <si>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</si>
  <si>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</si>
  <si>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</si>
  <si>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</si>
  <si>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</si>
  <si>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</si>
  <si>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</si>
  <si>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</si>
  <si>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</si>
  <si>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</si>
  <si>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</si>
  <si>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</si>
  <si>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</si>
  <si>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</si>
  <si>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</si>
  <si>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</si>
  <si>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</si>
  <si>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</si>
  <si>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</si>
  <si>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</si>
  <si>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</si>
  <si>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</si>
  <si>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</si>
  <si>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</si>
  <si>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</si>
  <si>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</si>
  <si>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</si>
  <si>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</si>
  <si>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</si>
  <si>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</si>
  <si>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</si>
  <si>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</si>
  <si>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</si>
  <si>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</si>
  <si>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</si>
  <si>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</si>
  <si>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</si>
  <si>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</si>
  <si>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</si>
  <si>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</si>
  <si>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</si>
  <si>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</si>
  <si>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</si>
  <si>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</si>
  <si>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</si>
  <si>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</si>
  <si>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</si>
  <si>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</si>
  <si>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</si>
  <si>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</si>
  <si>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</si>
  <si>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</si>
  <si>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</si>
  <si>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</si>
  <si>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</si>
  <si>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</si>
  <si>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</si>
  <si>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</si>
  <si>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</si>
  <si>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</si>
  <si>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</si>
  <si>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</si>
  <si>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</si>
  <si>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</si>
  <si>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</si>
  <si>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</si>
  <si>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</si>
  <si>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</si>
  <si>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</si>
  <si>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</si>
  <si>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</si>
  <si>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</si>
  <si>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</si>
  <si>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</si>
  <si>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</si>
  <si>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</si>
  <si>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</si>
  <si>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</si>
  <si>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</si>
  <si>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</si>
  <si>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</si>
  <si>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</si>
  <si>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</si>
  <si>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</si>
  <si>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</si>
  <si>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</si>
  <si>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</si>
  <si>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</si>
  <si>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</si>
  <si>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</si>
  <si>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</si>
  <si>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</si>
  <si>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</si>
  <si>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</si>
  <si>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</si>
  <si>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</si>
  <si>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</si>
  <si>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</si>
  <si>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</si>
  <si>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</si>
  <si>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</si>
  <si>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</si>
  <si>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</si>
  <si>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</si>
  <si>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</si>
  <si>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</si>
  <si>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</si>
  <si>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</si>
  <si>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</si>
  <si>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</si>
  <si>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</si>
  <si>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</si>
  <si>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</si>
  <si>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</si>
  <si>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</si>
  <si>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</si>
  <si>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</si>
  <si>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</si>
  <si>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</si>
  <si>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</si>
  <si>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</si>
  <si>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</si>
  <si>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</si>
  <si>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</si>
  <si>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</si>
  <si>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</si>
  <si>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</si>
  <si>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</si>
  <si>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</si>
  <si>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</si>
  <si>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</si>
  <si>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</si>
  <si>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</si>
  <si>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</si>
  <si>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</si>
  <si>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</si>
  <si>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</si>
  <si>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</si>
  <si>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</si>
  <si>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</si>
  <si>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</si>
  <si>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</si>
  <si>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</si>
  <si>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</si>
  <si>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</si>
  <si>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</si>
  <si>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</si>
  <si>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</si>
  <si>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</si>
  <si>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</si>
  <si>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</si>
  <si>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</si>
  <si>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</si>
  <si>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</si>
  <si>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</si>
  <si>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</si>
  <si>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</si>
  <si>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</si>
  <si>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</si>
  <si>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</si>
  <si>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</si>
  <si>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</si>
  <si>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</si>
  <si>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</si>
  <si>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</si>
  <si>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</si>
  <si>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</si>
  <si>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</si>
  <si>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</si>
  <si>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</si>
  <si>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</si>
  <si>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</si>
  <si>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</si>
  <si>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</si>
  <si>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</si>
  <si>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</si>
  <si>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</si>
  <si>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</si>
  <si>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</si>
  <si>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</si>
  <si>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</si>
  <si>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</si>
  <si>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</si>
  <si>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</si>
  <si>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</si>
  <si>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</si>
  <si>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</si>
  <si>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</si>
  <si>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</si>
  <si>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</si>
  <si>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</si>
  <si>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</si>
  <si>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</si>
  <si>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</si>
  <si>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</si>
  <si>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</si>
  <si>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</si>
  <si>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</si>
  <si>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</si>
  <si>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</si>
  <si>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</si>
  <si>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</si>
  <si>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</si>
  <si>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</si>
  <si>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</si>
  <si>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</si>
  <si>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</si>
  <si>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</si>
  <si>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</si>
  <si>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</si>
  <si>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</si>
  <si>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</si>
  <si>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</si>
  <si>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</si>
  <si>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</si>
  <si>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</si>
  <si>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</si>
  <si>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</si>
  <si>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</si>
  <si>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</si>
  <si>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</si>
  <si>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</si>
  <si>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</si>
  <si>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</si>
  <si>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</si>
  <si>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</si>
  <si>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</si>
  <si>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</si>
  <si>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</si>
  <si>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</si>
  <si>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</si>
  <si>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</si>
  <si>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</si>
  <si>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</si>
  <si>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</si>
  <si>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</si>
  <si>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</si>
  <si>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</si>
  <si>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</si>
  <si>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</si>
  <si>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</si>
  <si>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</si>
  <si>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</si>
  <si>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</si>
  <si>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</si>
  <si>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</si>
  <si>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</si>
  <si>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</si>
  <si>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</si>
  <si>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</si>
  <si>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</si>
  <si>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</si>
  <si>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</si>
  <si>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</si>
  <si>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</si>
  <si>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</si>
  <si>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</si>
  <si>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</si>
  <si>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</si>
  <si>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</si>
  <si>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</si>
  <si>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</si>
  <si>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</si>
  <si>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</si>
  <si>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</si>
  <si>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</si>
  <si>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</si>
  <si>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</si>
  <si>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</si>
  <si>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</si>
  <si>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</si>
  <si>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</si>
  <si>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</si>
  <si>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</si>
  <si>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</si>
  <si>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</si>
  <si>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</si>
  <si>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</si>
  <si>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</si>
  <si>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</si>
  <si>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</si>
  <si>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</si>
  <si>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</si>
  <si>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</si>
  <si>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</si>
  <si>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</si>
  <si>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</si>
  <si>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</si>
  <si>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</si>
  <si>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</si>
  <si>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</si>
  <si>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</si>
  <si>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</si>
  <si>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</si>
  <si>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</si>
  <si>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</si>
  <si>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</si>
  <si>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</si>
  <si>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</si>
  <si>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</si>
  <si>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</si>
  <si>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</si>
  <si>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</si>
  <si>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</si>
  <si>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</si>
  <si>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</si>
  <si>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</si>
  <si>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</si>
  <si>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</si>
  <si>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</si>
  <si>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</si>
  <si>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</si>
  <si>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</si>
  <si>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</si>
  <si>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</si>
  <si>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</si>
  <si>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</si>
  <si>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</si>
  <si>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</si>
  <si>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</si>
  <si>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</si>
  <si>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</si>
  <si>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</si>
  <si>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</si>
  <si>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</si>
  <si>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</si>
  <si>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</si>
  <si>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</si>
  <si>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</si>
  <si>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</si>
  <si>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</si>
  <si>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</si>
  <si>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</si>
  <si>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</si>
  <si>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</si>
  <si>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</si>
  <si>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</si>
  <si>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</si>
  <si>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</si>
  <si>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</si>
  <si>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</si>
  <si>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</si>
  <si>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</si>
  <si>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</si>
  <si>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</si>
  <si>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</si>
  <si>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</si>
  <si>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</si>
  <si>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</si>
  <si>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</si>
  <si>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</si>
  <si>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</si>
  <si>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</si>
  <si>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</si>
  <si>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</si>
  <si>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</si>
  <si>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</si>
  <si>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</si>
  <si>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</si>
  <si>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</si>
  <si>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</si>
  <si>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</si>
  <si>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</si>
  <si>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</si>
  <si>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</si>
  <si>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</si>
  <si>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</si>
  <si>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</si>
  <si>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</si>
  <si>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</si>
  <si>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</si>
  <si>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</si>
  <si>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</si>
  <si>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</si>
  <si>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</si>
  <si>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</si>
  <si>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</si>
  <si>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</si>
  <si>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</si>
  <si>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</si>
  <si>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</si>
  <si>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</si>
  <si>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</si>
  <si>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</si>
  <si>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</si>
  <si>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</si>
  <si>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</si>
  <si>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</si>
  <si>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</si>
  <si>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</si>
  <si>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</si>
  <si>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</si>
  <si>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</si>
  <si>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</si>
  <si>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</si>
  <si>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</si>
  <si>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</si>
  <si>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</si>
  <si>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</si>
  <si>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</si>
  <si>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</si>
  <si>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</si>
  <si>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</si>
  <si>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</si>
  <si>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</si>
  <si>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</si>
  <si>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</si>
  <si>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</si>
  <si>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</si>
  <si>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</si>
  <si>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</si>
  <si>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</si>
  <si>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</si>
  <si>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</si>
  <si>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</si>
  <si>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</si>
  <si>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</si>
  <si>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</si>
  <si>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</si>
  <si>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</si>
  <si>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</si>
  <si>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</si>
  <si>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</si>
  <si>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</si>
  <si>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</si>
  <si>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</si>
  <si>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</si>
  <si>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</si>
  <si>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</si>
  <si>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</si>
  <si>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</si>
  <si>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</si>
  <si>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</si>
  <si>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</si>
  <si>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</si>
  <si>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</si>
  <si>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</si>
  <si>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</si>
  <si>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</si>
  <si>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</si>
  <si>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</si>
  <si>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</si>
  <si>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</si>
  <si>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</si>
  <si>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</si>
  <si>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</si>
  <si>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</si>
  <si>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</si>
  <si>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</si>
  <si>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</si>
  <si>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</si>
  <si>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</si>
  <si>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</si>
  <si>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</si>
  <si>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</si>
  <si>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</si>
  <si>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</si>
  <si>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</si>
  <si>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</si>
  <si>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</si>
  <si>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</si>
  <si>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</si>
  <si>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</si>
  <si>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</si>
  <si>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</si>
  <si>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</si>
  <si>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</si>
  <si>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</si>
  <si>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</si>
  <si>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</si>
  <si>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</si>
  <si>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</si>
  <si>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</si>
  <si>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</si>
  <si>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</si>
  <si>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</si>
  <si>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</si>
  <si>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</si>
  <si>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</si>
  <si>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</si>
  <si>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</si>
  <si>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</si>
  <si>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</si>
  <si>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</si>
  <si>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</si>
  <si>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</si>
  <si>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</si>
  <si>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</si>
  <si>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</si>
  <si>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</si>
  <si>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</si>
  <si>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</si>
  <si>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</si>
  <si>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</si>
  <si>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</si>
  <si>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</si>
  <si>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</si>
  <si>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</si>
  <si>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</si>
  <si>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</si>
  <si>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</si>
  <si>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</si>
  <si>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</si>
  <si>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</si>
  <si>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</si>
  <si>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</si>
  <si>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</si>
  <si>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</si>
  <si>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</si>
  <si>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</si>
  <si>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</si>
  <si>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</si>
  <si>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</si>
  <si>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</si>
  <si>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</si>
  <si>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</si>
  <si>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</si>
  <si>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</si>
  <si>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</si>
  <si>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</si>
  <si>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</si>
  <si>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</si>
  <si>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</si>
  <si>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</si>
  <si>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</si>
  <si>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</si>
  <si>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</si>
  <si>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</si>
  <si>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</si>
  <si>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</si>
  <si>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</si>
  <si>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</si>
  <si>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</si>
  <si>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</si>
  <si>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</si>
  <si>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</si>
  <si>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</si>
  <si>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</si>
  <si>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</si>
  <si>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</si>
  <si>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</si>
  <si>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</si>
  <si>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</si>
  <si>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</si>
  <si>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</si>
  <si>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</si>
  <si>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</si>
  <si>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</si>
  <si>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</si>
  <si>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</si>
  <si>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</si>
  <si>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</si>
  <si>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</si>
  <si>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</si>
  <si>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</si>
  <si>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</si>
  <si>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</si>
  <si>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</si>
  <si>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</si>
  <si>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</si>
  <si>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</si>
  <si>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</si>
  <si>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</si>
  <si>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</si>
  <si>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</si>
  <si>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</si>
  <si>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</si>
  <si>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</si>
  <si>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</si>
  <si>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</si>
  <si>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</si>
  <si>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</si>
  <si>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</si>
  <si>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</si>
  <si>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</si>
  <si>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</si>
  <si>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</si>
  <si>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</si>
  <si>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</si>
  <si>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</si>
  <si>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</si>
  <si>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</si>
  <si>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</si>
  <si>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</si>
  <si>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</si>
  <si>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</si>
  <si>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</si>
  <si>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</si>
  <si>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</si>
  <si>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</si>
  <si>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</si>
  <si>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</si>
  <si>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</si>
  <si>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</si>
  <si>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</si>
  <si>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</si>
  <si>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</si>
  <si>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</si>
  <si>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</si>
  <si>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</si>
  <si>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</si>
  <si>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</si>
  <si>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</si>
  <si>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</si>
  <si>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</si>
  <si>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</si>
  <si>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</si>
  <si>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</si>
  <si>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</si>
  <si>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</si>
  <si>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</si>
  <si>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</si>
  <si>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</si>
  <si>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</si>
  <si>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</si>
  <si>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</si>
  <si>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</si>
  <si>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</si>
  <si>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</si>
  <si>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</si>
  <si>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</si>
  <si>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</si>
  <si>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</si>
  <si>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</si>
  <si>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</si>
  <si>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</si>
  <si>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</si>
  <si>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</si>
  <si>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</si>
  <si>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</si>
  <si>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</si>
  <si>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</si>
  <si>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</si>
  <si>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</si>
  <si>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</si>
  <si>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</si>
  <si>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</si>
  <si>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</si>
  <si>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</si>
  <si>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</si>
  <si>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</si>
  <si>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</si>
  <si>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</si>
  <si>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</si>
  <si>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</si>
  <si>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</si>
  <si>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</si>
  <si>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</si>
  <si>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</si>
  <si>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</si>
  <si>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</si>
  <si>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</si>
  <si>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</si>
  <si>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</si>
  <si>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</si>
  <si>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</si>
  <si>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</si>
  <si>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</si>
  <si>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</si>
  <si>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</si>
  <si>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</si>
  <si>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</si>
  <si>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</si>
  <si>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</si>
  <si>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</si>
  <si>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</si>
  <si>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</si>
  <si>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</si>
  <si>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</si>
  <si>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</si>
  <si>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</si>
  <si>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</si>
  <si>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</si>
  <si>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</si>
  <si>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</si>
  <si>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</si>
  <si>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</si>
  <si>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</si>
  <si>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</si>
  <si>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</si>
  <si>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</si>
  <si>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</si>
  <si>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</si>
  <si>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</si>
  <si>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</si>
  <si>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</si>
  <si>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</si>
  <si>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</si>
  <si>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</si>
  <si>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</si>
  <si>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</si>
  <si>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</si>
  <si>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</si>
  <si>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</si>
  <si>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</si>
  <si>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</si>
  <si>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</si>
  <si>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</si>
  <si>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</si>
  <si>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</si>
  <si>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</si>
  <si>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</si>
  <si>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</si>
  <si>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</si>
  <si>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</si>
  <si>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</si>
  <si>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</si>
  <si>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</si>
  <si>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</si>
  <si>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</si>
  <si>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</si>
  <si>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</si>
  <si>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</si>
  <si>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</si>
  <si>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</si>
  <si>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</si>
  <si>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</si>
  <si>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</si>
  <si>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</si>
  <si>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</si>
  <si>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</si>
  <si>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</si>
  <si>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</si>
  <si>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</si>
  <si>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</si>
  <si>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</si>
  <si>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</si>
  <si>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</si>
  <si>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</si>
  <si>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</si>
  <si>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</si>
  <si>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</si>
  <si>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</si>
  <si>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</si>
  <si>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</si>
  <si>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</si>
  <si>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</si>
  <si>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</si>
  <si>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</si>
  <si>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</si>
  <si>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</si>
  <si>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</si>
  <si>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</si>
  <si>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</si>
  <si>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</si>
  <si>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</si>
  <si>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</si>
  <si>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</si>
  <si>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</si>
  <si>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</si>
  <si>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</si>
  <si>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</si>
  <si>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</si>
  <si>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</si>
  <si>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</si>
  <si>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</si>
  <si>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</si>
  <si>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</si>
  <si>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</si>
  <si>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</si>
  <si>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</si>
  <si>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</si>
  <si>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</si>
  <si>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</si>
  <si>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</si>
  <si>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</si>
  <si>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</si>
  <si>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</si>
  <si>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</si>
  <si>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</si>
  <si>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</si>
  <si>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</si>
  <si>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</si>
  <si>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</si>
  <si>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</si>
  <si>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</si>
  <si>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</si>
  <si>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</si>
  <si>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</si>
  <si>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</si>
  <si>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</si>
  <si>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</si>
  <si>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</si>
  <si>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</si>
  <si>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</si>
  <si>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</si>
  <si>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</si>
  <si>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</si>
  <si>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</si>
  <si>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</si>
  <si>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</si>
  <si>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</si>
  <si>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</si>
  <si>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</si>
  <si>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</si>
  <si>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</si>
  <si>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</si>
  <si>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</si>
  <si>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</si>
  <si>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</si>
  <si>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</si>
  <si>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</si>
  <si>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</si>
  <si>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</si>
  <si>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</si>
  <si>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</si>
  <si>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</si>
  <si>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</si>
  <si>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</si>
  <si>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</si>
  <si>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</si>
  <si>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</si>
  <si>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</si>
  <si>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</si>
  <si>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</si>
  <si>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</si>
  <si>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</si>
  <si>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</si>
  <si>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</si>
  <si>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</si>
  <si>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</si>
  <si>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</si>
  <si>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</si>
  <si>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</si>
  <si>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</si>
  <si>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</si>
  <si>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</si>
  <si>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</si>
  <si>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</si>
  <si>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</si>
  <si>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</si>
  <si>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</si>
  <si>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</si>
  <si>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</si>
  <si>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</si>
  <si>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</si>
  <si>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</si>
  <si>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</si>
  <si>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</si>
  <si>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</si>
  <si>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</si>
  <si>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</si>
  <si>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</si>
  <si>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</si>
  <si>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</si>
  <si>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</si>
  <si>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</si>
  <si>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</si>
  <si>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</si>
  <si>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</si>
  <si>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</si>
  <si>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</si>
  <si>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</si>
  <si>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</si>
  <si>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</si>
  <si>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</si>
  <si>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</si>
  <si>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</si>
  <si>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</si>
  <si>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</si>
  <si>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</si>
  <si>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</si>
  <si>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</si>
  <si>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</si>
  <si>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</si>
  <si>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</si>
  <si>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</si>
  <si>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</si>
  <si>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</si>
  <si>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</si>
  <si>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</si>
  <si>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</si>
  <si>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</si>
  <si>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</si>
  <si>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</si>
  <si>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</si>
  <si>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</si>
  <si>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</si>
  <si>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</si>
  <si>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</si>
  <si>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</si>
  <si>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</si>
  <si>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</si>
  <si>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</si>
  <si>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</si>
  <si>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</si>
  <si>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</si>
  <si>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</si>
  <si>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</si>
  <si>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</si>
  <si>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</si>
  <si>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</si>
  <si>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</si>
  <si>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</si>
  <si>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</si>
  <si>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</si>
  <si>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</si>
  <si>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</si>
  <si>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</si>
  <si>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</si>
  <si>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</si>
  <si>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</si>
  <si>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</si>
  <si>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</si>
  <si>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</si>
  <si>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</si>
  <si>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</si>
  <si>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</si>
  <si>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</si>
  <si>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</si>
  <si>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</si>
  <si>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</si>
  <si>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</si>
  <si>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</si>
  <si>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</si>
  <si>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</si>
  <si>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</si>
  <si>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</si>
  <si>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</si>
  <si>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</si>
  <si>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</si>
  <si>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</si>
  <si>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</si>
  <si>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</si>
  <si>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</si>
  <si>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</si>
  <si>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</si>
  <si>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</si>
  <si>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</si>
  <si>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</si>
  <si>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</si>
  <si>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</si>
  <si>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</si>
  <si>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</si>
  <si>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</si>
  <si>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</si>
  <si>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</si>
  <si>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</si>
  <si>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</si>
  <si>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</si>
  <si>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</si>
  <si>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</si>
  <si>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</si>
  <si>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</si>
  <si>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</si>
  <si>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</si>
  <si>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</si>
  <si>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</si>
  <si>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</si>
  <si>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</si>
  <si>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</si>
  <si>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</si>
  <si>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</si>
  <si>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</si>
  <si>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</si>
  <si>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</si>
  <si>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</si>
  <si>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</si>
  <si>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</si>
  <si>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</si>
  <si>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</si>
  <si>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</si>
  <si>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</si>
  <si>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</si>
  <si>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</si>
  <si>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</si>
  <si>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</si>
  <si>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</si>
  <si>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</si>
  <si>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</si>
  <si>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</si>
  <si>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</si>
  <si>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</si>
  <si>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</si>
  <si>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</si>
  <si>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</si>
  <si>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</si>
  <si>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</si>
  <si>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</si>
  <si>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</si>
  <si>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</si>
  <si>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</si>
  <si>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</si>
  <si>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</si>
  <si>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</si>
  <si>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</si>
  <si>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</si>
  <si>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</si>
  <si>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</si>
  <si>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</si>
  <si>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</si>
  <si>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</si>
  <si>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</si>
  <si>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</si>
  <si>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</si>
  <si>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</si>
  <si>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</si>
  <si>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</si>
  <si>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</si>
  <si>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</si>
  <si>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</si>
  <si>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</si>
  <si>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</si>
  <si>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</si>
  <si>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</si>
  <si>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</si>
  <si>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</si>
  <si>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</si>
  <si>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</si>
  <si>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</si>
  <si>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</si>
  <si>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</si>
  <si>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</si>
  <si>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</si>
  <si>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</si>
  <si>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</si>
  <si>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</si>
  <si>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</si>
  <si>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</si>
  <si>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</si>
  <si>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</si>
  <si>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</si>
  <si>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</si>
  <si>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</si>
  <si>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</si>
  <si>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</si>
  <si>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</si>
  <si>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</si>
  <si>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</si>
  <si>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</si>
  <si>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</si>
  <si>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</si>
  <si>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</si>
  <si>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</si>
  <si>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</si>
  <si>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</si>
  <si>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</si>
  <si>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</si>
  <si>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</si>
  <si>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</si>
  <si>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</si>
  <si>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</si>
  <si>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</si>
  <si>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</si>
  <si>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</si>
  <si>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</si>
  <si>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</si>
  <si>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</si>
  <si>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</si>
  <si>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</si>
  <si>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</si>
  <si>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</si>
  <si>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</si>
  <si>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</si>
  <si>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</si>
  <si>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</si>
  <si>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</si>
  <si>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</si>
  <si>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</si>
  <si>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</si>
  <si>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</si>
  <si>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</si>
  <si>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</si>
  <si>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</si>
  <si>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</si>
  <si>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</si>
  <si>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</si>
  <si>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</si>
  <si>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</si>
  <si>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</si>
  <si>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</si>
  <si>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</si>
  <si>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</si>
  <si>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</si>
  <si>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</si>
  <si>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</si>
  <si>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</si>
  <si>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</si>
  <si>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</si>
  <si>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</si>
  <si>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</si>
  <si>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</si>
  <si>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</si>
  <si>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</si>
  <si>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</si>
  <si>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</si>
  <si>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</si>
  <si>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</si>
  <si>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</si>
  <si>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</si>
  <si>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</si>
  <si>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</si>
  <si>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</si>
  <si>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</si>
  <si>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</si>
  <si>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</si>
  <si>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</si>
  <si>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</si>
  <si>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</si>
  <si>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</si>
  <si>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</si>
  <si>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</si>
  <si>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</si>
  <si>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</si>
  <si>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</si>
  <si>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</si>
  <si>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</si>
  <si>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</si>
  <si>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</si>
  <si>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</si>
  <si>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</si>
  <si>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</si>
  <si>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</si>
  <si>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</si>
  <si>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</si>
  <si>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</si>
  <si>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</si>
  <si>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</si>
  <si>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</si>
  <si>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</si>
  <si>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</si>
  <si>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</si>
  <si>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</si>
  <si>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</si>
  <si>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</si>
  <si>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</si>
  <si>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</si>
  <si>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</si>
  <si>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</si>
  <si>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</si>
  <si>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</si>
  <si>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</si>
  <si>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</si>
  <si>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</si>
  <si>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</si>
  <si>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</si>
  <si>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</si>
  <si>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</si>
  <si>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</si>
  <si>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</si>
  <si>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</si>
  <si>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</si>
  <si>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</si>
  <si>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</si>
  <si>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</si>
  <si>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</si>
  <si>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</si>
  <si>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</si>
  <si>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</si>
  <si>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</si>
  <si>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</si>
  <si>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</si>
  <si>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</si>
  <si>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</si>
  <si>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</si>
  <si>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</si>
  <si>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</si>
  <si>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</si>
  <si>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</si>
  <si>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</si>
  <si>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</si>
  <si>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</si>
  <si>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</si>
  <si>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</si>
  <si>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</si>
  <si>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</si>
  <si>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</si>
  <si>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</si>
  <si>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</si>
  <si>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</si>
  <si>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</si>
  <si>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</si>
  <si>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</si>
  <si>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</si>
  <si>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</si>
  <si>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</si>
  <si>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</si>
  <si>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</si>
  <si>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</si>
  <si>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</si>
  <si>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</si>
  <si>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</si>
  <si>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</si>
  <si>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</si>
  <si>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</si>
  <si>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</si>
  <si>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</si>
  <si>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</si>
  <si>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</si>
  <si>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</si>
  <si>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</si>
  <si>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</si>
  <si>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</si>
  <si>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</si>
  <si>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</si>
  <si>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</si>
  <si>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</si>
  <si>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</si>
  <si>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</si>
  <si>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</si>
  <si>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</si>
  <si>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</si>
  <si>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</si>
  <si>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</si>
  <si>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</si>
  <si>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</si>
  <si>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</si>
  <si>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</si>
  <si>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</si>
  <si>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</si>
  <si>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</si>
  <si>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</si>
  <si>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</si>
  <si>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</si>
  <si>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</si>
  <si>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</si>
  <si>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</si>
  <si>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</si>
  <si>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</si>
  <si>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</si>
  <si>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</si>
  <si>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</si>
  <si>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</si>
  <si>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</si>
  <si>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</si>
  <si>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</si>
  <si>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</si>
  <si>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</si>
  <si>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</si>
  <si>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</si>
  <si>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</si>
  <si>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</si>
  <si>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</si>
  <si>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</si>
  <si>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</si>
  <si>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</si>
  <si>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</si>
  <si>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</si>
  <si>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</si>
  <si>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</si>
  <si>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</si>
  <si>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</si>
  <si>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</si>
  <si>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</si>
  <si>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</si>
  <si>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</si>
  <si>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</si>
  <si>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</si>
  <si>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</si>
  <si>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</si>
  <si>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</si>
  <si>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</si>
  <si>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</si>
  <si>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</si>
  <si>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</si>
  <si>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</si>
  <si>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</si>
  <si>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</si>
  <si>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</si>
  <si>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</si>
  <si>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</si>
  <si>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</si>
  <si>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</si>
  <si>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</si>
  <si>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</si>
  <si>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</si>
  <si>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</si>
  <si>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</si>
  <si>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</si>
  <si>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</si>
  <si>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</si>
  <si>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</si>
  <si>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</si>
  <si>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</si>
  <si>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</si>
  <si>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</si>
  <si>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</si>
  <si>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</si>
  <si>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</si>
  <si>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</si>
  <si>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</si>
  <si>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</si>
  <si>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</si>
  <si>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</si>
  <si>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</si>
  <si>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</si>
  <si>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</si>
  <si>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</si>
  <si>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</si>
  <si>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</si>
  <si>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</si>
  <si>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</si>
  <si>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</si>
  <si>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</si>
  <si>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</si>
  <si>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</si>
  <si>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</si>
  <si>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</si>
  <si>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</si>
  <si>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</si>
  <si>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</si>
  <si>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</si>
  <si>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</si>
  <si>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</si>
  <si>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</si>
  <si>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</si>
  <si>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</si>
  <si>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</si>
  <si>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</si>
  <si>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</si>
  <si>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</si>
  <si>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</si>
  <si>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</si>
  <si>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</si>
  <si>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</si>
  <si>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</si>
  <si>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</si>
  <si>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</si>
  <si>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</si>
  <si>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</si>
  <si>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</si>
  <si>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</si>
  <si>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</si>
  <si>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</si>
  <si>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</si>
  <si>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</si>
  <si>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</si>
  <si>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</si>
  <si>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</si>
  <si>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</si>
  <si>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</si>
  <si>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</si>
  <si>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</si>
  <si>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</si>
  <si>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</si>
  <si>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</si>
  <si>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</si>
  <si>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</si>
  <si>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</si>
  <si>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</si>
  <si>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</si>
  <si>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</si>
  <si>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</si>
  <si>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</si>
  <si>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</si>
  <si>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</si>
  <si>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</si>
  <si>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</si>
  <si>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</si>
  <si>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</si>
  <si>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</si>
  <si>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</si>
  <si>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</si>
  <si>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</si>
  <si>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</si>
  <si>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</si>
  <si>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</si>
  <si>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</si>
  <si>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</si>
  <si>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</si>
  <si>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</si>
  <si>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</si>
  <si>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</si>
  <si>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</si>
  <si>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</si>
  <si>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</si>
  <si>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</si>
  <si>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</si>
  <si>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</si>
  <si>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</si>
  <si>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</si>
  <si>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</si>
  <si>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</si>
  <si>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</si>
  <si>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</si>
  <si>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</si>
  <si>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</si>
  <si>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</si>
  <si>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</si>
  <si>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</si>
  <si>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</si>
  <si>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</si>
  <si>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</si>
  <si>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</si>
  <si>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</si>
  <si>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</si>
  <si>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</si>
  <si>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</si>
  <si>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</si>
  <si>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</si>
  <si>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</si>
  <si>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</si>
  <si>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</si>
  <si>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</si>
  <si>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</si>
  <si>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</si>
  <si>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</si>
  <si>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</si>
  <si>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</si>
  <si>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</si>
  <si>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</si>
  <si>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</si>
  <si>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</si>
  <si>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</si>
  <si>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</si>
  <si>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</si>
  <si>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</si>
  <si>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</si>
  <si>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</si>
  <si>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</si>
  <si>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</si>
  <si>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</si>
  <si>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</si>
  <si>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</si>
  <si>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</si>
  <si>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</si>
  <si>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</si>
  <si>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</si>
  <si>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</si>
  <si>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</si>
  <si>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</si>
  <si>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</si>
  <si>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</si>
  <si>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</si>
  <si>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</si>
  <si>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</si>
  <si>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</si>
  <si>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</si>
  <si>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</si>
  <si>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</si>
  <si>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</si>
  <si>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</si>
  <si>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</si>
  <si>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92143159456</t>
  </si>
  <si>
    <t>04129482</t>
  </si>
  <si>
    <t>040315389</t>
  </si>
  <si>
    <t>PONIKVE USLUGA d.o.o.</t>
  </si>
  <si>
    <t>Vršanska 14</t>
  </si>
  <si>
    <t>051654620</t>
  </si>
  <si>
    <t>w.w.w.ponikve.hr</t>
  </si>
  <si>
    <t>Zvjezdana Ponoš</t>
  </si>
  <si>
    <t>zvjezdana.ponos@ponikve.hr</t>
  </si>
  <si>
    <t>HSFI</t>
  </si>
  <si>
    <t>Mr.sc.Ivica Plišić dipl.ing.građ.</t>
  </si>
  <si>
    <t>ponikve@ponikve.hr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</si>
</sst>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2"/>
      </right>
      <top>
        <color indexed="63"/>
      </top>
      <bottom>
        <color indexed="6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 fillId="0" borderId="11"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7" fillId="0" borderId="33" xfId="0" applyFont="1" applyBorder="1" applyAlignment="1" applyProtection="1">
      <alignment horizontal="left" vertical="center"/>
      <protection hidden="1"/>
    </xf>
    <xf numFmtId="0" fontId="7" fillId="0" borderId="53" xfId="0" applyFont="1" applyBorder="1" applyAlignment="1" applyProtection="1">
      <alignment horizontal="left" vertical="center"/>
      <protection hidden="1"/>
    </xf>
    <xf numFmtId="49" fontId="13" fillId="33" borderId="54" xfId="0" applyNumberFormat="1" applyFont="1" applyFill="1" applyBorder="1" applyAlignment="1" applyProtection="1">
      <alignment horizontal="center" vertical="center"/>
      <protection locked="0"/>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 fillId="0" borderId="0" xfId="0" applyFont="1" applyAlignment="1" applyProtection="1">
      <alignment horizontal="right" vertical="center" wrapText="1"/>
      <protection hidden="1"/>
    </xf>
    <xf numFmtId="0" fontId="57" fillId="0" borderId="56" xfId="0" applyFont="1" applyBorder="1" applyAlignment="1">
      <alignment horizontal="left" vertical="center" indent="2"/>
    </xf>
    <xf numFmtId="0" fontId="7" fillId="0" borderId="0" xfId="0" applyFont="1" applyBorder="1" applyAlignment="1" applyProtection="1">
      <alignment horizontal="left"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4" xfId="0" applyFont="1" applyFill="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49" fontId="13" fillId="0" borderId="55"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7"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 fillId="0" borderId="0" xfId="0" applyFont="1" applyAlignment="1">
      <alignment horizontal="left" vertical="center" wrapText="1" indent="2"/>
    </xf>
    <xf numFmtId="0" fontId="2" fillId="0" borderId="58" xfId="0" applyFont="1" applyBorder="1" applyAlignment="1" applyProtection="1">
      <alignment horizontal="left" vertical="center" wrapText="1" indent="2"/>
      <protection hidden="1"/>
    </xf>
    <xf numFmtId="0" fontId="7" fillId="0" borderId="33" xfId="0" applyFont="1" applyBorder="1" applyAlignment="1">
      <alignment vertical="center"/>
    </xf>
    <xf numFmtId="0" fontId="0" fillId="0" borderId="0" xfId="0" applyAlignment="1">
      <alignment vertical="center"/>
    </xf>
    <xf numFmtId="0" fontId="13" fillId="33" borderId="54" xfId="0" applyFont="1" applyFill="1" applyBorder="1" applyAlignment="1" applyProtection="1">
      <alignment horizontal="left" vertical="center" shrinkToFit="1"/>
      <protection locked="0"/>
    </xf>
    <xf numFmtId="0" fontId="0" fillId="0" borderId="57" xfId="0" applyBorder="1" applyAlignment="1" applyProtection="1">
      <alignment vertical="center" shrinkToFit="1"/>
      <protection locked="0"/>
    </xf>
    <xf numFmtId="0" fontId="0" fillId="0" borderId="55" xfId="0" applyBorder="1" applyAlignment="1" applyProtection="1">
      <alignment vertical="center" shrinkToFit="1"/>
      <protection locked="0"/>
    </xf>
    <xf numFmtId="49" fontId="4" fillId="33" borderId="54" xfId="53" applyNumberFormat="1" applyFill="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59" xfId="0" applyFont="1" applyBorder="1" applyAlignment="1" applyProtection="1">
      <alignment vertical="center"/>
      <protection hidden="1"/>
    </xf>
    <xf numFmtId="0" fontId="0" fillId="0" borderId="59" xfId="0" applyBorder="1" applyAlignment="1">
      <alignment vertical="center"/>
    </xf>
    <xf numFmtId="0" fontId="0" fillId="0" borderId="0" xfId="0" applyBorder="1" applyAlignment="1">
      <alignment vertical="center"/>
    </xf>
    <xf numFmtId="0" fontId="7" fillId="0" borderId="59"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53" xfId="0" applyFont="1" applyBorder="1" applyAlignment="1">
      <alignment horizontal="right" vertical="center"/>
    </xf>
    <xf numFmtId="0" fontId="12" fillId="0" borderId="57"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 fillId="0" borderId="0" xfId="0" applyFont="1" applyAlignment="1">
      <alignment horizontal="right" vertical="center"/>
    </xf>
    <xf numFmtId="49" fontId="13" fillId="0" borderId="57" xfId="0" applyNumberFormat="1" applyFont="1" applyBorder="1" applyAlignment="1" applyProtection="1">
      <alignment horizontal="center" vertical="center"/>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3" xfId="0" applyBorder="1" applyAlignment="1">
      <alignment horizontal="right" vertical="center" wrapText="1"/>
    </xf>
    <xf numFmtId="49" fontId="13" fillId="33" borderId="54" xfId="0" applyNumberFormat="1" applyFont="1" applyFill="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39" fillId="0" borderId="59" xfId="0" applyFont="1" applyBorder="1" applyAlignment="1" applyProtection="1">
      <alignment horizontal="center" vertical="center"/>
      <protection hidden="1"/>
    </xf>
    <xf numFmtId="0" fontId="0" fillId="0" borderId="59" xfId="0" applyBorder="1" applyAlignment="1">
      <alignment horizontal="center" vertical="center"/>
    </xf>
    <xf numFmtId="0" fontId="9" fillId="40" borderId="61" xfId="0" applyFont="1" applyFill="1" applyBorder="1" applyAlignment="1" applyProtection="1">
      <alignment horizontal="left" vertical="center" wrapText="1"/>
      <protection hidden="1"/>
    </xf>
    <xf numFmtId="0" fontId="0" fillId="40" borderId="62" xfId="0" applyFill="1" applyBorder="1" applyAlignment="1" applyProtection="1">
      <alignment horizontal="left" vertical="center" wrapText="1"/>
      <protection hidden="1"/>
    </xf>
    <xf numFmtId="0" fontId="0" fillId="40" borderId="6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64" xfId="0" applyFont="1" applyBorder="1" applyAlignment="1" applyProtection="1">
      <alignment horizontal="center" vertical="center"/>
      <protection hidden="1"/>
    </xf>
    <xf numFmtId="0" fontId="0" fillId="0" borderId="65" xfId="0" applyBorder="1" applyAlignment="1">
      <alignment horizontal="center" vertical="center"/>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14" fontId="34" fillId="33" borderId="69" xfId="0" applyNumberFormat="1" applyFont="1" applyFill="1" applyBorder="1" applyAlignment="1" applyProtection="1">
      <alignment horizontal="center" vertical="center"/>
      <protection locked="0"/>
    </xf>
    <xf numFmtId="14" fontId="56" fillId="33" borderId="70" xfId="0" applyNumberFormat="1" applyFont="1" applyFill="1" applyBorder="1" applyAlignment="1" applyProtection="1">
      <alignment horizontal="center" vertical="center"/>
      <protection locked="0"/>
    </xf>
    <xf numFmtId="0" fontId="58" fillId="0" borderId="0" xfId="0" applyFont="1" applyBorder="1" applyAlignment="1" applyProtection="1">
      <alignment horizontal="left" vertical="center" wrapText="1" indent="2"/>
      <protection hidden="1"/>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7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64"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0" fillId="0" borderId="65" xfId="0" applyFont="1" applyBorder="1" applyAlignment="1" applyProtection="1">
      <alignment horizontal="center" vertical="center"/>
      <protection hidden="1"/>
    </xf>
    <xf numFmtId="0" fontId="1" fillId="0" borderId="0" xfId="0" applyFont="1" applyBorder="1" applyAlignment="1">
      <alignment horizontal="right" vertical="center" wrapText="1"/>
    </xf>
    <xf numFmtId="0" fontId="13" fillId="33" borderId="54" xfId="0" applyFont="1" applyFill="1"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4" fillId="33" borderId="54" xfId="53" applyFont="1" applyFill="1" applyBorder="1" applyAlignment="1" applyProtection="1">
      <alignment vertical="center"/>
      <protection locked="0"/>
    </xf>
    <xf numFmtId="0" fontId="34" fillId="0" borderId="57"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58" fillId="0" borderId="0" xfId="0" applyFont="1" applyBorder="1" applyAlignment="1" applyProtection="1">
      <alignment vertical="center"/>
      <protection hidden="1"/>
    </xf>
    <xf numFmtId="1" fontId="24" fillId="33" borderId="69" xfId="0" applyNumberFormat="1" applyFont="1" applyFill="1" applyBorder="1" applyAlignment="1" applyProtection="1">
      <alignment horizontal="center" vertical="center" shrinkToFit="1"/>
      <protection locked="0"/>
    </xf>
    <xf numFmtId="1" fontId="24" fillId="33" borderId="70" xfId="0" applyNumberFormat="1" applyFont="1" applyFill="1" applyBorder="1" applyAlignment="1" applyProtection="1">
      <alignment horizontal="center" vertical="center" shrinkToFit="1"/>
      <protection locked="0"/>
    </xf>
    <xf numFmtId="0" fontId="0" fillId="0" borderId="0" xfId="0" applyAlignment="1">
      <alignment horizontal="right" vertical="center"/>
    </xf>
    <xf numFmtId="0" fontId="0" fillId="0" borderId="72" xfId="0" applyBorder="1" applyAlignment="1">
      <alignment vertical="center"/>
    </xf>
    <xf numFmtId="0" fontId="1" fillId="0" borderId="34" xfId="0" applyFont="1" applyBorder="1" applyAlignment="1" applyProtection="1">
      <alignment horizontal="right" vertical="center"/>
      <protection hidden="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3"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11" fillId="44" borderId="61" xfId="0" applyFont="1" applyFill="1" applyBorder="1" applyAlignment="1">
      <alignment horizontal="left" vertical="center" shrinkToFit="1"/>
    </xf>
    <xf numFmtId="0" fontId="3"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27" fillId="37" borderId="27" xfId="0" applyFont="1" applyFill="1" applyBorder="1" applyAlignment="1">
      <alignment horizontal="center" vertical="center" wrapText="1"/>
    </xf>
    <xf numFmtId="0" fontId="1" fillId="0" borderId="77"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0" fillId="0" borderId="31"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23" fillId="35" borderId="61" xfId="0" applyFont="1" applyFill="1" applyBorder="1" applyAlignment="1" applyProtection="1">
      <alignment horizontal="left" vertical="center" wrapText="1"/>
      <protection hidden="1"/>
    </xf>
    <xf numFmtId="0" fontId="14" fillId="0" borderId="62"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70" xfId="0" applyFont="1" applyFill="1" applyBorder="1" applyAlignment="1">
      <alignment vertical="center" wrapText="1"/>
    </xf>
    <xf numFmtId="0" fontId="1" fillId="35" borderId="62"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1" xfId="0" applyFont="1" applyFill="1" applyBorder="1" applyAlignment="1">
      <alignment horizontal="left" vertical="center" shrinkToFit="1"/>
    </xf>
    <xf numFmtId="0" fontId="14"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227885.71999999997</v>
      </c>
      <c r="I3" s="27">
        <f>ABS(ROUND(J3,0)-J3)+ABS(ROUND(K3,0)-K3)</f>
        <v>0</v>
      </c>
      <c r="J3" s="27">
        <f>Bilanca!I10</f>
        <v>3907382</v>
      </c>
      <c r="K3" s="27">
        <f>Bilanca!J10</f>
        <v>3743452</v>
      </c>
    </row>
    <row r="4" spans="1:11" ht="12.75">
      <c r="A4" s="4" t="s">
        <v>1555</v>
      </c>
      <c r="B4" s="25" t="s">
        <v>1464</v>
      </c>
      <c r="D4" s="4" t="s">
        <v>1230</v>
      </c>
      <c r="E4" s="4">
        <v>1</v>
      </c>
      <c r="F4" s="4">
        <f>Bilanca!G11</f>
        <v>3</v>
      </c>
      <c r="G4" s="4">
        <f>IF(Bilanca!H11=0,"",Bilanca!H11)</f>
      </c>
      <c r="H4" s="26">
        <f>J4/100*F4+2*K4/100*F4</f>
        <v>0</v>
      </c>
      <c r="I4" s="27">
        <f>ABS(ROUND(J4,0)-J4)+ABS(ROUND(K4,0)-K4)</f>
        <v>0</v>
      </c>
      <c r="J4" s="27">
        <f>Bilanca!I11</f>
        <v>0</v>
      </c>
      <c r="K4" s="27">
        <f>Bilanca!J11</f>
        <v>0</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04129482</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040315389</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92143159456</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PONIKVE USLUGA d.o.o.</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51500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Krk</v>
      </c>
      <c r="D11" s="4" t="s">
        <v>1230</v>
      </c>
      <c r="E11" s="4">
        <v>1</v>
      </c>
      <c r="F11" s="4">
        <f>Bilanca!G18</f>
        <v>10</v>
      </c>
      <c r="G11" s="4">
        <f>IF(Bilanca!H18=0,"",Bilanca!H18)</f>
      </c>
      <c r="H11" s="26">
        <f t="shared" si="0"/>
        <v>1139428.5999999999</v>
      </c>
      <c r="I11" s="27">
        <f t="shared" si="1"/>
        <v>0</v>
      </c>
      <c r="J11" s="27">
        <f>Bilanca!I18</f>
        <v>3907382</v>
      </c>
      <c r="K11" s="27">
        <f>Bilanca!J18</f>
        <v>3743452</v>
      </c>
    </row>
    <row r="12" spans="1:11" ht="12.75">
      <c r="A12" s="4" t="s">
        <v>1596</v>
      </c>
      <c r="B12" s="25" t="str">
        <f>TRIM(RefStr!C33)</f>
        <v>Vršanska 14</v>
      </c>
      <c r="D12" s="4" t="s">
        <v>1230</v>
      </c>
      <c r="E12" s="4">
        <v>1</v>
      </c>
      <c r="F12" s="4">
        <f>Bilanca!G19</f>
        <v>11</v>
      </c>
      <c r="G12" s="4">
        <f>IF(Bilanca!H19=0,"",Bilanca!H19)</f>
      </c>
      <c r="H12" s="26">
        <f t="shared" si="0"/>
        <v>6270.660000000001</v>
      </c>
      <c r="I12" s="27">
        <f t="shared" si="1"/>
        <v>0</v>
      </c>
      <c r="J12" s="27">
        <f>Bilanca!I19</f>
        <v>19002</v>
      </c>
      <c r="K12" s="27">
        <f>Bilanca!J19</f>
        <v>19002</v>
      </c>
    </row>
    <row r="13" spans="1:11" ht="12.75">
      <c r="A13" s="4" t="s">
        <v>1742</v>
      </c>
      <c r="B13" s="25" t="str">
        <f>TRIM(RefStr!C35)</f>
        <v>ponikve@ponikve.hr</v>
      </c>
      <c r="D13" s="4" t="s">
        <v>1230</v>
      </c>
      <c r="E13" s="4">
        <v>1</v>
      </c>
      <c r="F13" s="4">
        <f>Bilanca!G20</f>
        <v>12</v>
      </c>
      <c r="G13" s="4">
        <f>IF(Bilanca!H20=0,"",Bilanca!H20)</f>
      </c>
      <c r="H13" s="26">
        <f t="shared" si="0"/>
        <v>1105936.92</v>
      </c>
      <c r="I13" s="27">
        <f t="shared" si="1"/>
        <v>0</v>
      </c>
      <c r="J13" s="27">
        <f>Bilanca!I20</f>
        <v>2945339</v>
      </c>
      <c r="K13" s="27">
        <f>Bilanca!J20</f>
        <v>3135401</v>
      </c>
    </row>
    <row r="14" spans="1:11" ht="12.75">
      <c r="A14" s="4" t="s">
        <v>1743</v>
      </c>
      <c r="B14" s="25" t="str">
        <f>TRIM(RefStr!C37)</f>
        <v>w.w.w.ponikve.hr</v>
      </c>
      <c r="D14" s="4" t="s">
        <v>1230</v>
      </c>
      <c r="E14" s="4">
        <v>1</v>
      </c>
      <c r="F14" s="4">
        <f>Bilanca!G21</f>
        <v>13</v>
      </c>
      <c r="G14" s="4">
        <f>IF(Bilanca!H21=0,"",Bilanca!H21)</f>
      </c>
      <c r="H14" s="26">
        <f t="shared" si="0"/>
        <v>216982.21999999997</v>
      </c>
      <c r="I14" s="27">
        <f t="shared" si="1"/>
        <v>0</v>
      </c>
      <c r="J14" s="27">
        <f>Bilanca!I21</f>
        <v>559408</v>
      </c>
      <c r="K14" s="27">
        <f>Bilanca!J21</f>
        <v>554843</v>
      </c>
    </row>
    <row r="15" spans="1:11" ht="12.75">
      <c r="A15" s="4" t="s">
        <v>1599</v>
      </c>
      <c r="B15" s="25" t="str">
        <f>TEXT(RefStr!J39,"00")</f>
        <v>08</v>
      </c>
      <c r="D15" s="4" t="s">
        <v>1230</v>
      </c>
      <c r="E15" s="4">
        <v>1</v>
      </c>
      <c r="F15" s="4">
        <f>Bilanca!G22</f>
        <v>14</v>
      </c>
      <c r="G15" s="4">
        <f>IF(Bilanca!H22=0,"",Bilanca!H22)</f>
      </c>
      <c r="H15" s="26">
        <f t="shared" si="0"/>
        <v>18158.559999999998</v>
      </c>
      <c r="I15" s="27">
        <f t="shared" si="1"/>
        <v>0</v>
      </c>
      <c r="J15" s="27">
        <f>Bilanca!I22</f>
        <v>61292</v>
      </c>
      <c r="K15" s="27">
        <f>Bilanca!J22</f>
        <v>34206</v>
      </c>
    </row>
    <row r="16" spans="1:11" ht="12.75">
      <c r="A16" s="4" t="s">
        <v>1598</v>
      </c>
      <c r="B16" s="25" t="str">
        <f>TEXT(RefStr!C39,"000")</f>
        <v>215</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6920</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54797.97</v>
      </c>
      <c r="I18" s="27">
        <f t="shared" si="1"/>
        <v>0</v>
      </c>
      <c r="J18" s="27">
        <f>Bilanca!I25</f>
        <v>322341</v>
      </c>
      <c r="K18" s="27">
        <f>Bilanca!J25</f>
        <v>0</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1</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20</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20</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20</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20</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8760179.2</v>
      </c>
      <c r="I38" s="27">
        <f t="shared" si="1"/>
        <v>0</v>
      </c>
      <c r="J38" s="27">
        <f>Bilanca!I45</f>
        <v>7948720</v>
      </c>
      <c r="K38" s="27">
        <f>Bilanca!J45</f>
        <v>7863720</v>
      </c>
    </row>
    <row r="39" spans="1:11" ht="12.75">
      <c r="A39" s="4" t="s">
        <v>484</v>
      </c>
      <c r="B39" s="25" t="str">
        <f>RefStr!C68</f>
        <v>Zvjezdana Ponoš</v>
      </c>
      <c r="D39" s="4" t="s">
        <v>1230</v>
      </c>
      <c r="E39" s="4">
        <v>1</v>
      </c>
      <c r="F39" s="4">
        <f>Bilanca!G46</f>
        <v>38</v>
      </c>
      <c r="G39" s="4">
        <f>IF(Bilanca!H46=0,"",Bilanca!H46)</f>
      </c>
      <c r="H39" s="26">
        <f t="shared" si="0"/>
        <v>849.3</v>
      </c>
      <c r="I39" s="27">
        <f t="shared" si="1"/>
        <v>0</v>
      </c>
      <c r="J39" s="27">
        <f>Bilanca!I46</f>
        <v>1865</v>
      </c>
      <c r="K39" s="27">
        <f>Bilanca!J46</f>
        <v>185</v>
      </c>
    </row>
    <row r="40" spans="1:11" ht="12.75">
      <c r="A40" s="4" t="s">
        <v>485</v>
      </c>
      <c r="B40" s="25" t="str">
        <f>TRIM(RefStr!C70)</f>
        <v>051654620</v>
      </c>
      <c r="D40" s="4" t="s">
        <v>1230</v>
      </c>
      <c r="E40" s="4">
        <v>1</v>
      </c>
      <c r="F40" s="4">
        <f>Bilanca!G47</f>
        <v>39</v>
      </c>
      <c r="G40" s="4">
        <f>IF(Bilanca!H47=0,"",Bilanca!H47)</f>
      </c>
      <c r="H40" s="26">
        <f t="shared" si="0"/>
        <v>0</v>
      </c>
      <c r="I40" s="27">
        <f t="shared" si="1"/>
        <v>0</v>
      </c>
      <c r="J40" s="27">
        <f>Bilanca!I47</f>
        <v>0</v>
      </c>
      <c r="K40" s="27">
        <f>Bilanca!J47</f>
        <v>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zvjezdana.ponos@ponikve.hr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Mr.sc.Ivica Plišić dipl.ing.građ.</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961.05</v>
      </c>
      <c r="I44" s="27">
        <f t="shared" si="1"/>
        <v>0</v>
      </c>
      <c r="J44" s="27">
        <f>Bilanca!I51</f>
        <v>1865</v>
      </c>
      <c r="K44" s="27">
        <f>Bilanca!J51</f>
        <v>185</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6400492.4399999995</v>
      </c>
      <c r="I47" s="27">
        <f t="shared" si="3"/>
        <v>0</v>
      </c>
      <c r="J47" s="27">
        <f>Bilanca!I54</f>
        <v>4933410</v>
      </c>
      <c r="K47" s="27">
        <f>Bilanca!J54</f>
        <v>4490352</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6814258.01</v>
      </c>
      <c r="I50" s="27">
        <f t="shared" si="3"/>
        <v>0</v>
      </c>
      <c r="J50" s="27">
        <f>Bilanca!I57</f>
        <v>4927529</v>
      </c>
      <c r="K50" s="27">
        <f>Bilanca!J57</f>
        <v>4489560</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3807.15</v>
      </c>
      <c r="I52" s="27">
        <f t="shared" si="3"/>
        <v>0</v>
      </c>
      <c r="J52" s="27">
        <f>Bilanca!I59</f>
        <v>5881</v>
      </c>
      <c r="K52" s="27">
        <f>Bilanca!J59</f>
        <v>792</v>
      </c>
    </row>
    <row r="53" spans="1:11" ht="12.75">
      <c r="A53" s="4" t="s">
        <v>174</v>
      </c>
      <c r="B53" s="25" t="str">
        <f>RefStr!I56</f>
        <v>DA</v>
      </c>
      <c r="D53" s="4" t="s">
        <v>1230</v>
      </c>
      <c r="E53" s="4">
        <v>1</v>
      </c>
      <c r="F53" s="4">
        <f>Bilanca!G60</f>
        <v>52</v>
      </c>
      <c r="G53" s="4">
        <f>IF(Bilanca!H60=0,"",Bilanca!H60)</f>
      </c>
      <c r="H53" s="26">
        <f t="shared" si="2"/>
        <v>0</v>
      </c>
      <c r="I53" s="27">
        <f t="shared" si="3"/>
        <v>0</v>
      </c>
      <c r="J53" s="27">
        <f>Bilanca!I60</f>
        <v>0</v>
      </c>
      <c r="K53" s="27">
        <f>Bilanca!J60</f>
        <v>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1335468511.18</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6148680.93</v>
      </c>
      <c r="I64" s="27">
        <f t="shared" si="3"/>
        <v>0</v>
      </c>
      <c r="J64" s="27">
        <f>Bilanca!I71</f>
        <v>3013445</v>
      </c>
      <c r="K64" s="27">
        <f>Bilanca!J71</f>
        <v>3373183</v>
      </c>
    </row>
    <row r="65" spans="1:11" ht="12.75">
      <c r="A65" s="4" t="s">
        <v>2817</v>
      </c>
      <c r="B65" s="25" t="str">
        <f>TRIM(RefStr!N19)</f>
        <v>HSFI</v>
      </c>
      <c r="D65" s="4" t="s">
        <v>1230</v>
      </c>
      <c r="E65" s="4">
        <v>1</v>
      </c>
      <c r="F65" s="4">
        <f>Bilanca!G72</f>
        <v>64</v>
      </c>
      <c r="G65" s="4">
        <f>IF(Bilanca!H72=0,"",Bilanca!H72)</f>
      </c>
      <c r="H65" s="26">
        <f t="shared" si="2"/>
        <v>981.76</v>
      </c>
      <c r="I65" s="27">
        <f t="shared" si="3"/>
        <v>0</v>
      </c>
      <c r="J65" s="27">
        <f>Bilanca!I72</f>
        <v>0</v>
      </c>
      <c r="K65" s="27">
        <f>Bilanca!J72</f>
        <v>767</v>
      </c>
    </row>
    <row r="66" spans="1:11" ht="12.75">
      <c r="A66" s="4" t="s">
        <v>2818</v>
      </c>
      <c r="B66" s="25">
        <f>RefStr!C23</f>
        <v>1</v>
      </c>
      <c r="D66" s="4" t="s">
        <v>1230</v>
      </c>
      <c r="E66" s="4">
        <v>1</v>
      </c>
      <c r="F66" s="4">
        <f>Bilanca!G73</f>
        <v>65</v>
      </c>
      <c r="G66" s="4">
        <f>IF(Bilanca!H73=0,"",Bilanca!H73)</f>
      </c>
      <c r="H66" s="26">
        <f t="shared" si="2"/>
        <v>22796787</v>
      </c>
      <c r="I66" s="27">
        <f t="shared" si="3"/>
        <v>0</v>
      </c>
      <c r="J66" s="27">
        <f>Bilanca!I73</f>
        <v>11856102</v>
      </c>
      <c r="K66" s="27">
        <f>Bilanca!J73</f>
        <v>11607939</v>
      </c>
    </row>
    <row r="67" spans="1:11" ht="12.75">
      <c r="A67" s="4" t="s">
        <v>2819</v>
      </c>
      <c r="B67" s="25" t="str">
        <f>TRIM(RefStr!L35)</f>
        <v>051654620</v>
      </c>
      <c r="D67" s="4" t="s">
        <v>1230</v>
      </c>
      <c r="E67" s="4">
        <v>1</v>
      </c>
      <c r="F67" s="4">
        <f>Bilanca!G74</f>
        <v>66</v>
      </c>
      <c r="G67" s="4">
        <f>IF(Bilanca!H74=0,"",Bilanca!H74)</f>
      </c>
      <c r="H67" s="26">
        <f t="shared" si="2"/>
        <v>217800</v>
      </c>
      <c r="I67" s="27">
        <f t="shared" si="3"/>
        <v>0</v>
      </c>
      <c r="J67" s="27">
        <f>Bilanca!I74</f>
        <v>110000</v>
      </c>
      <c r="K67" s="27">
        <f>Bilanca!J74</f>
        <v>110000</v>
      </c>
    </row>
    <row r="68" spans="1:11" ht="12.75">
      <c r="A68" s="4" t="s">
        <v>2820</v>
      </c>
      <c r="B68" s="25">
        <f>RefStr!C44</f>
        <v>1</v>
      </c>
      <c r="D68" s="4" t="s">
        <v>1230</v>
      </c>
      <c r="E68" s="4">
        <v>1</v>
      </c>
      <c r="F68" s="4">
        <f>Bilanca!G76</f>
        <v>67</v>
      </c>
      <c r="G68" s="4">
        <f>IF(Bilanca!H76=0,"",Bilanca!H76)</f>
      </c>
      <c r="H68" s="26">
        <f t="shared" si="2"/>
        <v>9272796.65</v>
      </c>
      <c r="I68" s="27">
        <f t="shared" si="3"/>
        <v>0</v>
      </c>
      <c r="J68" s="27">
        <f>Bilanca!I76</f>
        <v>4607819</v>
      </c>
      <c r="K68" s="27">
        <f>Bilanca!J76</f>
        <v>4616088</v>
      </c>
    </row>
    <row r="69" spans="1:11" ht="12.75">
      <c r="A69" s="4" t="s">
        <v>2821</v>
      </c>
      <c r="B69" s="25">
        <f>TRIM(RefStr!M46)</f>
      </c>
      <c r="D69" s="4" t="s">
        <v>1230</v>
      </c>
      <c r="E69" s="4">
        <v>1</v>
      </c>
      <c r="F69" s="4">
        <f>Bilanca!G77</f>
        <v>68</v>
      </c>
      <c r="G69" s="4">
        <f>IF(Bilanca!H77=0,"",Bilanca!H77)</f>
      </c>
      <c r="H69" s="26">
        <f t="shared" si="2"/>
        <v>9160620</v>
      </c>
      <c r="I69" s="27">
        <f t="shared" si="3"/>
        <v>0</v>
      </c>
      <c r="J69" s="27">
        <f>Bilanca!I77</f>
        <v>4490500</v>
      </c>
      <c r="K69" s="27">
        <f>Bilanca!J77</f>
        <v>4490500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279638.62</v>
      </c>
      <c r="I84" s="27">
        <f t="shared" si="3"/>
        <v>0</v>
      </c>
      <c r="J84" s="27">
        <f>Bilanca!I92</f>
        <v>102276</v>
      </c>
      <c r="K84" s="27">
        <f>Bilanca!J92</f>
        <v>117319</v>
      </c>
    </row>
    <row r="85" spans="4:11" ht="12.75">
      <c r="D85" s="4" t="s">
        <v>1230</v>
      </c>
      <c r="E85" s="4">
        <v>1</v>
      </c>
      <c r="F85" s="4">
        <f>Bilanca!G93</f>
        <v>84</v>
      </c>
      <c r="G85" s="4">
        <f>IF(Bilanca!H93=0,"",Bilanca!H93)</f>
      </c>
      <c r="H85" s="26">
        <f t="shared" si="2"/>
        <v>283007.76</v>
      </c>
      <c r="I85" s="27">
        <f t="shared" si="3"/>
        <v>0</v>
      </c>
      <c r="J85" s="27">
        <f>Bilanca!I93</f>
        <v>102276</v>
      </c>
      <c r="K85" s="27">
        <f>Bilanca!J93</f>
        <v>117319</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27159.660000000003</v>
      </c>
      <c r="I87" s="27">
        <f>ABS(ROUND(J87,0)-J87)+ABS(ROUND(K87,0)-K87)</f>
        <v>0</v>
      </c>
      <c r="J87" s="27">
        <f>Bilanca!I95</f>
        <v>15043</v>
      </c>
      <c r="K87" s="27">
        <f>Bilanca!J95</f>
        <v>8269</v>
      </c>
    </row>
    <row r="88" spans="4:11" ht="12.75">
      <c r="D88" s="4" t="s">
        <v>1230</v>
      </c>
      <c r="E88" s="4">
        <v>1</v>
      </c>
      <c r="F88" s="4">
        <f>Bilanca!G96</f>
        <v>87</v>
      </c>
      <c r="G88" s="4">
        <f>IF(Bilanca!H96=0,"",Bilanca!H96)</f>
      </c>
      <c r="H88" s="26">
        <f>J88/100*F88+2*K88/100*F88</f>
        <v>27475.47</v>
      </c>
      <c r="I88" s="27">
        <f>ABS(ROUND(J88,0)-J88)+ABS(ROUND(K88,0)-K88)</f>
        <v>0</v>
      </c>
      <c r="J88" s="27">
        <f>Bilanca!I96</f>
        <v>15043</v>
      </c>
      <c r="K88" s="27">
        <f>Bilanca!J96</f>
        <v>8269</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0</v>
      </c>
      <c r="I98" s="27">
        <f t="shared" si="5"/>
        <v>0</v>
      </c>
      <c r="J98" s="27">
        <f>Bilanca!I106</f>
        <v>0</v>
      </c>
      <c r="K98" s="27">
        <f>Bilanca!J106</f>
        <v>0</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0</v>
      </c>
      <c r="I104" s="27">
        <f t="shared" si="5"/>
        <v>0</v>
      </c>
      <c r="J104" s="27">
        <f>Bilanca!I112</f>
        <v>0</v>
      </c>
      <c r="K104" s="27">
        <f>Bilanca!J112</f>
        <v>0</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1881423.93</v>
      </c>
      <c r="I110" s="27">
        <f t="shared" si="5"/>
        <v>0</v>
      </c>
      <c r="J110" s="27">
        <f>Bilanca!I118</f>
        <v>600719</v>
      </c>
      <c r="K110" s="27">
        <f>Bilanca!J118</f>
        <v>562679</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142500</v>
      </c>
      <c r="I115" s="27">
        <f t="shared" si="5"/>
        <v>0</v>
      </c>
      <c r="J115" s="27">
        <f>Bilanca!I123</f>
        <v>25000</v>
      </c>
      <c r="K115" s="27">
        <f>Bilanca!J123</f>
        <v>50000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869594.3099999999</v>
      </c>
      <c r="I118" s="27">
        <f t="shared" si="5"/>
        <v>0</v>
      </c>
      <c r="J118" s="27">
        <f>Bilanca!I126</f>
        <v>277969</v>
      </c>
      <c r="K118" s="27">
        <f>Bilanca!J126</f>
        <v>232637</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595916.3</v>
      </c>
      <c r="I120" s="27">
        <f t="shared" si="5"/>
        <v>0</v>
      </c>
      <c r="J120" s="27">
        <f>Bilanca!I128</f>
        <v>187190</v>
      </c>
      <c r="K120" s="27">
        <f>Bilanca!J128</f>
        <v>156790</v>
      </c>
    </row>
    <row r="121" spans="4:11" ht="12.75">
      <c r="D121" s="4" t="s">
        <v>1230</v>
      </c>
      <c r="E121" s="4">
        <v>1</v>
      </c>
      <c r="F121" s="4">
        <f>Bilanca!G129</f>
        <v>120</v>
      </c>
      <c r="G121" s="4">
        <f>IF(Bilanca!H129=0,"",Bilanca!H129)</f>
      </c>
      <c r="H121" s="26">
        <f t="shared" si="4"/>
        <v>412231.19999999995</v>
      </c>
      <c r="I121" s="27">
        <f t="shared" si="5"/>
        <v>0</v>
      </c>
      <c r="J121" s="27">
        <f>Bilanca!I129</f>
        <v>107328</v>
      </c>
      <c r="K121" s="27">
        <f>Bilanca!J129</f>
        <v>118099</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16651.74</v>
      </c>
      <c r="I124" s="27">
        <f t="shared" si="5"/>
        <v>0</v>
      </c>
      <c r="J124" s="27">
        <f>Bilanca!I132</f>
        <v>3232</v>
      </c>
      <c r="K124" s="27">
        <f>Bilanca!J132</f>
        <v>5153</v>
      </c>
    </row>
    <row r="125" spans="4:11" ht="12.75">
      <c r="D125" s="4" t="s">
        <v>1230</v>
      </c>
      <c r="E125" s="4">
        <v>1</v>
      </c>
      <c r="F125" s="4">
        <f>Bilanca!G133</f>
        <v>124</v>
      </c>
      <c r="G125" s="4">
        <f>IF(Bilanca!H133=0,"",Bilanca!H133)</f>
      </c>
      <c r="H125" s="26">
        <f t="shared" si="4"/>
        <v>24187325.92</v>
      </c>
      <c r="I125" s="27">
        <f t="shared" si="5"/>
        <v>0</v>
      </c>
      <c r="J125" s="27">
        <f>Bilanca!I133</f>
        <v>6647564</v>
      </c>
      <c r="K125" s="27">
        <f>Bilanca!J133</f>
        <v>6429172</v>
      </c>
    </row>
    <row r="126" spans="4:11" ht="12.75">
      <c r="D126" s="4" t="s">
        <v>1230</v>
      </c>
      <c r="E126" s="4">
        <v>1</v>
      </c>
      <c r="F126" s="4">
        <f>Bilanca!G134</f>
        <v>125</v>
      </c>
      <c r="G126" s="4">
        <f>IF(Bilanca!H134=0,"",Bilanca!H134)</f>
      </c>
      <c r="H126" s="26">
        <f t="shared" si="4"/>
        <v>43839975</v>
      </c>
      <c r="I126" s="27">
        <f t="shared" si="5"/>
        <v>0</v>
      </c>
      <c r="J126" s="27">
        <f>Bilanca!I134</f>
        <v>11856102</v>
      </c>
      <c r="K126" s="27">
        <f>Bilanca!J134</f>
        <v>11607939</v>
      </c>
    </row>
    <row r="127" spans="4:11" ht="12.75">
      <c r="D127" s="4" t="s">
        <v>1230</v>
      </c>
      <c r="E127" s="4">
        <v>1</v>
      </c>
      <c r="F127" s="4">
        <f>Bilanca!G135</f>
        <v>126</v>
      </c>
      <c r="G127" s="4">
        <f>IF(Bilanca!H135=0,"",Bilanca!H135)</f>
      </c>
      <c r="H127" s="26">
        <f t="shared" si="4"/>
        <v>415800</v>
      </c>
      <c r="I127" s="27">
        <f t="shared" si="5"/>
        <v>0</v>
      </c>
      <c r="J127" s="27">
        <f>Bilanca!I135</f>
        <v>110000</v>
      </c>
      <c r="K127" s="27">
        <f>Bilanca!J135</f>
        <v>110000</v>
      </c>
    </row>
    <row r="128" spans="4:11" ht="12.75">
      <c r="D128" s="4" t="s">
        <v>2688</v>
      </c>
      <c r="E128" s="4">
        <v>2</v>
      </c>
      <c r="F128" s="4">
        <f>RDG!G8</f>
        <v>127</v>
      </c>
      <c r="G128" s="4">
        <f>IF(RDG!H8=0,"",RDG!H8)</f>
      </c>
      <c r="H128" s="26">
        <f t="shared" si="4"/>
        <v>21743362.66</v>
      </c>
      <c r="I128" s="4">
        <f t="shared" si="5"/>
        <v>0</v>
      </c>
      <c r="J128" s="27">
        <f>RDG!I8</f>
        <v>5735156</v>
      </c>
      <c r="K128" s="27">
        <f>RDG!J8</f>
        <v>5692801</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21816232.32</v>
      </c>
      <c r="I130" s="4">
        <f aca="true" t="shared" si="7" ref="I130:I192">ABS(ROUND(J130,0)-J130)+ABS(ROUND(K130,0)-K130)</f>
        <v>0</v>
      </c>
      <c r="J130" s="27">
        <f>RDG!I10</f>
        <v>5675152</v>
      </c>
      <c r="K130" s="27">
        <f>RDG!J10</f>
        <v>5618328</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275814</v>
      </c>
      <c r="I133" s="4">
        <f t="shared" si="7"/>
        <v>0</v>
      </c>
      <c r="J133" s="27">
        <f>RDG!I13</f>
        <v>60004</v>
      </c>
      <c r="K133" s="27">
        <f>RDG!J13</f>
        <v>74473</v>
      </c>
    </row>
    <row r="134" spans="4:11" ht="12.75">
      <c r="D134" s="4" t="s">
        <v>2688</v>
      </c>
      <c r="E134" s="4">
        <v>2</v>
      </c>
      <c r="F134" s="4">
        <f>RDG!G14</f>
        <v>133</v>
      </c>
      <c r="G134" s="4">
        <f>IF(RDG!H14=0,"",RDG!H14)</f>
      </c>
      <c r="H134" s="26">
        <f t="shared" si="6"/>
        <v>22719278.12</v>
      </c>
      <c r="I134" s="4">
        <f t="shared" si="7"/>
        <v>0</v>
      </c>
      <c r="J134" s="27">
        <f>RDG!I14</f>
        <v>5718126</v>
      </c>
      <c r="K134" s="27">
        <f>RDG!J14</f>
        <v>5682019</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9345522.15</v>
      </c>
      <c r="I136" s="4">
        <f t="shared" si="7"/>
        <v>0</v>
      </c>
      <c r="J136" s="27">
        <f>RDG!I16</f>
        <v>2253465</v>
      </c>
      <c r="K136" s="27">
        <f>RDG!J16</f>
        <v>2334572</v>
      </c>
    </row>
    <row r="137" spans="4:11" ht="12.75">
      <c r="D137" s="4" t="s">
        <v>2688</v>
      </c>
      <c r="E137" s="4">
        <v>2</v>
      </c>
      <c r="F137" s="4">
        <f>RDG!G17</f>
        <v>136</v>
      </c>
      <c r="G137" s="4">
        <f>IF(RDG!H17=0,"",RDG!H17)</f>
      </c>
      <c r="H137" s="26">
        <f t="shared" si="6"/>
        <v>1910496.72</v>
      </c>
      <c r="I137" s="4">
        <f t="shared" si="7"/>
        <v>0</v>
      </c>
      <c r="J137" s="27">
        <f>RDG!I17</f>
        <v>470743</v>
      </c>
      <c r="K137" s="27">
        <f>RDG!J17</f>
        <v>467017</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7614608.16</v>
      </c>
      <c r="I139" s="4">
        <f t="shared" si="7"/>
        <v>0</v>
      </c>
      <c r="J139" s="27">
        <f>RDG!I19</f>
        <v>1782722</v>
      </c>
      <c r="K139" s="27">
        <f>RDG!J19</f>
        <v>1867555</v>
      </c>
    </row>
    <row r="140" spans="4:11" ht="12.75">
      <c r="D140" s="4" t="s">
        <v>2688</v>
      </c>
      <c r="E140" s="4">
        <v>2</v>
      </c>
      <c r="F140" s="4">
        <f>RDG!G20</f>
        <v>139</v>
      </c>
      <c r="G140" s="4">
        <f>IF(RDG!H20=0,"",RDG!H20)</f>
      </c>
      <c r="H140" s="26">
        <f t="shared" si="6"/>
        <v>11223238.079999998</v>
      </c>
      <c r="I140" s="4">
        <f t="shared" si="7"/>
        <v>0</v>
      </c>
      <c r="J140" s="27">
        <f>RDG!I20</f>
        <v>2886148</v>
      </c>
      <c r="K140" s="27">
        <f>RDG!J20</f>
        <v>2594062</v>
      </c>
    </row>
    <row r="141" spans="4:11" ht="12.75">
      <c r="D141" s="4" t="s">
        <v>2688</v>
      </c>
      <c r="E141" s="4">
        <v>2</v>
      </c>
      <c r="F141" s="4">
        <f>RDG!G21</f>
        <v>140</v>
      </c>
      <c r="G141" s="4">
        <f>IF(RDG!H21=0,"",RDG!H21)</f>
      </c>
      <c r="H141" s="26">
        <f t="shared" si="6"/>
        <v>7203576.800000001</v>
      </c>
      <c r="I141" s="4">
        <f t="shared" si="7"/>
        <v>0</v>
      </c>
      <c r="J141" s="27">
        <f>RDG!I21</f>
        <v>1808550</v>
      </c>
      <c r="K141" s="27">
        <f>RDG!J21</f>
        <v>1668431</v>
      </c>
    </row>
    <row r="142" spans="4:11" ht="12.75">
      <c r="D142" s="4" t="s">
        <v>2688</v>
      </c>
      <c r="E142" s="4">
        <v>2</v>
      </c>
      <c r="F142" s="4">
        <f>RDG!G22</f>
        <v>141</v>
      </c>
      <c r="G142" s="4">
        <f>IF(RDG!H22=0,"",RDG!H22)</f>
      </c>
      <c r="H142" s="26">
        <f t="shared" si="6"/>
        <v>2714109</v>
      </c>
      <c r="I142" s="4">
        <f t="shared" si="7"/>
        <v>0</v>
      </c>
      <c r="J142" s="27">
        <f>RDG!I22</f>
        <v>714136</v>
      </c>
      <c r="K142" s="27">
        <f>RDG!J22</f>
        <v>605382</v>
      </c>
    </row>
    <row r="143" spans="4:11" ht="12.75">
      <c r="D143" s="4" t="s">
        <v>2688</v>
      </c>
      <c r="E143" s="4">
        <v>2</v>
      </c>
      <c r="F143" s="4">
        <f>RDG!G23</f>
        <v>142</v>
      </c>
      <c r="G143" s="4">
        <f>IF(RDG!H23=0,"",RDG!H23)</f>
      </c>
      <c r="H143" s="26">
        <f t="shared" si="6"/>
        <v>1425623.2</v>
      </c>
      <c r="I143" s="4">
        <f t="shared" si="7"/>
        <v>0</v>
      </c>
      <c r="J143" s="27">
        <f>RDG!I23</f>
        <v>363462</v>
      </c>
      <c r="K143" s="27">
        <f>RDG!J23</f>
        <v>320249</v>
      </c>
    </row>
    <row r="144" spans="4:11" ht="12.75">
      <c r="D144" s="4" t="s">
        <v>2688</v>
      </c>
      <c r="E144" s="4">
        <v>2</v>
      </c>
      <c r="F144" s="4">
        <f>RDG!G24</f>
        <v>143</v>
      </c>
      <c r="G144" s="4">
        <f>IF(RDG!H24=0,"",RDG!H24)</f>
      </c>
      <c r="H144" s="26">
        <f t="shared" si="6"/>
        <v>1363846.77</v>
      </c>
      <c r="I144" s="4">
        <f t="shared" si="7"/>
        <v>0</v>
      </c>
      <c r="J144" s="27">
        <f>RDG!I24</f>
        <v>281613</v>
      </c>
      <c r="K144" s="27">
        <f>RDG!J24</f>
        <v>336063</v>
      </c>
    </row>
    <row r="145" spans="4:11" ht="12.75">
      <c r="D145" s="4" t="s">
        <v>2688</v>
      </c>
      <c r="E145" s="4">
        <v>2</v>
      </c>
      <c r="F145" s="4">
        <f>RDG!G25</f>
        <v>144</v>
      </c>
      <c r="G145" s="4">
        <f>IF(RDG!H25=0,"",RDG!H25)</f>
      </c>
      <c r="H145" s="26">
        <f t="shared" si="6"/>
        <v>1594477.44</v>
      </c>
      <c r="I145" s="4">
        <f t="shared" si="7"/>
        <v>0</v>
      </c>
      <c r="J145" s="27">
        <f>RDG!I25</f>
        <v>296900</v>
      </c>
      <c r="K145" s="27">
        <f>RDG!J25</f>
        <v>405188</v>
      </c>
    </row>
    <row r="146" spans="4:11" ht="12.75">
      <c r="D146" s="4" t="s">
        <v>2688</v>
      </c>
      <c r="E146" s="4">
        <v>2</v>
      </c>
      <c r="F146" s="4">
        <f>RDG!G26</f>
        <v>145</v>
      </c>
      <c r="G146" s="4">
        <f>IF(RDG!H26=0,"",RDG!H26)</f>
      </c>
      <c r="H146" s="26">
        <f t="shared" si="6"/>
        <v>0</v>
      </c>
      <c r="I146" s="4">
        <f t="shared" si="7"/>
        <v>0</v>
      </c>
      <c r="J146" s="27">
        <f>RDG!I26</f>
        <v>0</v>
      </c>
      <c r="K146" s="27">
        <f>RDG!J26</f>
        <v>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37615.4</v>
      </c>
      <c r="I156" s="4">
        <f t="shared" si="7"/>
        <v>0</v>
      </c>
      <c r="J156" s="27">
        <f>RDG!I36</f>
        <v>0</v>
      </c>
      <c r="K156" s="27">
        <f>RDG!J36</f>
        <v>12134</v>
      </c>
    </row>
    <row r="157" spans="4:11" ht="12.75">
      <c r="D157" s="4" t="s">
        <v>2688</v>
      </c>
      <c r="E157" s="4">
        <v>2</v>
      </c>
      <c r="F157" s="4">
        <f>RDG!G37</f>
        <v>156</v>
      </c>
      <c r="G157" s="4">
        <f>IF(RDG!H37=0,"",RDG!H37)</f>
      </c>
      <c r="H157" s="26">
        <f t="shared" si="6"/>
        <v>43.68</v>
      </c>
      <c r="I157" s="4">
        <f t="shared" si="7"/>
        <v>0</v>
      </c>
      <c r="J157" s="27">
        <f>RDG!I37</f>
        <v>12</v>
      </c>
      <c r="K157" s="27">
        <f>RDG!J37</f>
        <v>8</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39.120000000000005</v>
      </c>
      <c r="I164" s="4">
        <f t="shared" si="7"/>
        <v>0</v>
      </c>
      <c r="J164" s="27">
        <f>RDG!I44</f>
        <v>8</v>
      </c>
      <c r="K164" s="27">
        <f>RDG!J44</f>
        <v>8</v>
      </c>
    </row>
    <row r="165" spans="4:11" ht="12.75">
      <c r="D165" s="4" t="s">
        <v>2688</v>
      </c>
      <c r="E165" s="4">
        <v>2</v>
      </c>
      <c r="F165" s="4">
        <f>RDG!G45</f>
        <v>164</v>
      </c>
      <c r="G165" s="4">
        <f>IF(RDG!H45=0,"",RDG!H45)</f>
      </c>
      <c r="H165" s="26">
        <f t="shared" si="6"/>
        <v>6.5600000000000005</v>
      </c>
      <c r="I165" s="4">
        <f t="shared" si="7"/>
        <v>0</v>
      </c>
      <c r="J165" s="27">
        <f>RDG!I45</f>
        <v>4</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11758.47</v>
      </c>
      <c r="I168" s="4">
        <f t="shared" si="7"/>
        <v>0</v>
      </c>
      <c r="J168" s="27">
        <f>RDG!I48</f>
        <v>1999</v>
      </c>
      <c r="K168" s="27">
        <f>RDG!J48</f>
        <v>2521</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3114.4</v>
      </c>
      <c r="I171" s="4">
        <f t="shared" si="7"/>
        <v>0</v>
      </c>
      <c r="J171" s="27">
        <f>RDG!I51</f>
        <v>330</v>
      </c>
      <c r="K171" s="27">
        <f>RDG!J51</f>
        <v>751</v>
      </c>
    </row>
    <row r="172" spans="4:11" ht="12.75">
      <c r="D172" s="4" t="s">
        <v>2688</v>
      </c>
      <c r="E172" s="4">
        <v>2</v>
      </c>
      <c r="F172" s="4">
        <f>RDG!G52</f>
        <v>171</v>
      </c>
      <c r="G172" s="4">
        <f>IF(RDG!H52=0,"",RDG!H52)</f>
      </c>
      <c r="H172" s="26">
        <f t="shared" si="6"/>
        <v>8907.39</v>
      </c>
      <c r="I172" s="4">
        <f t="shared" si="7"/>
        <v>0</v>
      </c>
      <c r="J172" s="27">
        <f>RDG!I52</f>
        <v>1669</v>
      </c>
      <c r="K172" s="27">
        <f>RDG!J52</f>
        <v>1770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30646206.939999998</v>
      </c>
      <c r="I180" s="4">
        <f t="shared" si="7"/>
        <v>0</v>
      </c>
      <c r="J180" s="27">
        <f>RDG!I60</f>
        <v>5735168</v>
      </c>
      <c r="K180" s="27">
        <f>RDG!J60</f>
        <v>5692809</v>
      </c>
    </row>
    <row r="181" spans="4:11" ht="12.75">
      <c r="D181" s="4" t="s">
        <v>2688</v>
      </c>
      <c r="E181" s="4">
        <v>2</v>
      </c>
      <c r="F181" s="4">
        <f>RDG!G61</f>
        <v>180</v>
      </c>
      <c r="G181" s="4">
        <f>IF(RDG!H61=0,"",RDG!H61)</f>
      </c>
      <c r="H181" s="26">
        <f t="shared" si="6"/>
        <v>30760569</v>
      </c>
      <c r="I181" s="4">
        <f t="shared" si="7"/>
        <v>0</v>
      </c>
      <c r="J181" s="27">
        <f>RDG!I61</f>
        <v>5720125</v>
      </c>
      <c r="K181" s="27">
        <f>RDG!J61</f>
        <v>5684540</v>
      </c>
    </row>
    <row r="182" spans="4:11" ht="12.75">
      <c r="D182" s="4" t="s">
        <v>2688</v>
      </c>
      <c r="E182" s="4">
        <v>2</v>
      </c>
      <c r="F182" s="4">
        <f>RDG!G62</f>
        <v>181</v>
      </c>
      <c r="G182" s="4">
        <f>IF(RDG!H62=0,"",RDG!H62)</f>
      </c>
      <c r="H182" s="26">
        <f t="shared" si="6"/>
        <v>57161.61</v>
      </c>
      <c r="I182" s="4">
        <f t="shared" si="7"/>
        <v>0</v>
      </c>
      <c r="J182" s="27">
        <f>RDG!I62</f>
        <v>15043</v>
      </c>
      <c r="K182" s="27">
        <f>RDG!J62</f>
        <v>8269</v>
      </c>
    </row>
    <row r="183" spans="4:11" ht="12.75">
      <c r="D183" s="4" t="s">
        <v>2688</v>
      </c>
      <c r="E183" s="4">
        <v>2</v>
      </c>
      <c r="F183" s="4">
        <f>RDG!G63</f>
        <v>182</v>
      </c>
      <c r="G183" s="4">
        <f>IF(RDG!H63=0,"",RDG!H63)</f>
      </c>
      <c r="H183" s="26">
        <f t="shared" si="6"/>
        <v>57477.42</v>
      </c>
      <c r="I183" s="4">
        <f t="shared" si="7"/>
        <v>0</v>
      </c>
      <c r="J183" s="27">
        <f>RDG!I63</f>
        <v>15043</v>
      </c>
      <c r="K183" s="27">
        <f>RDG!J63</f>
        <v>8269</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58424.850000000006</v>
      </c>
      <c r="I186" s="4">
        <f t="shared" si="7"/>
        <v>0</v>
      </c>
      <c r="J186" s="27">
        <f>RDG!I66</f>
        <v>15043</v>
      </c>
      <c r="K186" s="27">
        <f>RDG!J66</f>
        <v>8269</v>
      </c>
    </row>
    <row r="187" spans="4:11" ht="12.75">
      <c r="D187" s="4" t="s">
        <v>2688</v>
      </c>
      <c r="E187" s="4">
        <v>2</v>
      </c>
      <c r="F187" s="4">
        <f>RDG!G67</f>
        <v>186</v>
      </c>
      <c r="G187" s="4">
        <f>IF(RDG!H67=0,"",RDG!H67)</f>
      </c>
      <c r="H187" s="26">
        <f t="shared" si="6"/>
        <v>58740.66</v>
      </c>
      <c r="I187" s="4">
        <f t="shared" si="7"/>
        <v>0</v>
      </c>
      <c r="J187" s="27">
        <f>RDG!I67</f>
        <v>15043</v>
      </c>
      <c r="K187" s="27">
        <f>RDG!J67</f>
        <v>8269</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40757457.28</v>
      </c>
      <c r="I242" s="4">
        <f t="shared" si="13"/>
        <v>0</v>
      </c>
      <c r="J242" s="27">
        <f>Dodatni!I25</f>
        <v>5675152</v>
      </c>
      <c r="K242" s="27">
        <f>Dodatni!J25</f>
        <v>5618328</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42617756.16</v>
      </c>
      <c r="I253" s="4">
        <f t="shared" si="13"/>
        <v>0</v>
      </c>
      <c r="J253" s="27">
        <f>Dodatni!I37</f>
        <v>5675152</v>
      </c>
      <c r="K253" s="27">
        <f>Dodatni!J37</f>
        <v>5618328</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1780130.1800000002</v>
      </c>
      <c r="I263" s="4">
        <f t="shared" si="13"/>
        <v>0</v>
      </c>
      <c r="J263" s="27">
        <f>Dodatni!I50</f>
        <v>204271</v>
      </c>
      <c r="K263" s="27">
        <f>Dodatni!J50</f>
        <v>237584</v>
      </c>
    </row>
    <row r="264" spans="4:11" ht="12.75">
      <c r="D264" s="4" t="s">
        <v>1231</v>
      </c>
      <c r="E264" s="4">
        <v>3</v>
      </c>
      <c r="F264" s="4">
        <f>Dodatni!H51</f>
        <v>263</v>
      </c>
      <c r="H264" s="26">
        <f t="shared" si="12"/>
        <v>7.89</v>
      </c>
      <c r="I264" s="4">
        <f t="shared" si="13"/>
        <v>0</v>
      </c>
      <c r="J264" s="27">
        <f>Dodatni!I51</f>
        <v>1</v>
      </c>
      <c r="K264" s="27">
        <f>Dodatni!J51</f>
        <v>1</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539036</v>
      </c>
      <c r="I273" s="4">
        <f t="shared" si="13"/>
        <v>0</v>
      </c>
      <c r="J273" s="27">
        <f>Dodatni!I60</f>
        <v>63007</v>
      </c>
      <c r="K273" s="27">
        <f>Dodatni!J60</f>
        <v>67584</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8.22</v>
      </c>
      <c r="I275" s="4">
        <f t="shared" si="13"/>
        <v>0</v>
      </c>
      <c r="J275" s="27">
        <f>Dodatni!I62</f>
        <v>1</v>
      </c>
      <c r="K275" s="27">
        <f>Dodatni!J62</f>
        <v>1</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1343588.5</v>
      </c>
      <c r="I278" s="4">
        <f t="shared" si="13"/>
        <v>0</v>
      </c>
      <c r="J278" s="27">
        <f>Dodatni!I65</f>
        <v>56700</v>
      </c>
      <c r="K278" s="27">
        <f>Dodatni!J65</f>
        <v>214175</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3887539.1999999997</v>
      </c>
      <c r="I289" s="4">
        <f t="shared" si="15"/>
        <v>0</v>
      </c>
      <c r="J289" s="27">
        <f>Dodatni!I78</f>
        <v>336622</v>
      </c>
      <c r="K289" s="27">
        <f>Dodatni!J78</f>
        <v>506609</v>
      </c>
    </row>
    <row r="290" spans="4:11" ht="12.75">
      <c r="D290" s="4" t="s">
        <v>1231</v>
      </c>
      <c r="E290" s="4">
        <v>3</v>
      </c>
      <c r="F290" s="4">
        <f>Dodatni!H79</f>
        <v>289</v>
      </c>
      <c r="H290" s="26">
        <f t="shared" si="14"/>
        <v>2104787</v>
      </c>
      <c r="I290" s="4">
        <f t="shared" si="15"/>
        <v>0</v>
      </c>
      <c r="J290" s="27">
        <f>Dodatni!I79</f>
        <v>83618</v>
      </c>
      <c r="K290" s="27">
        <f>Dodatni!J79</f>
        <v>322341</v>
      </c>
    </row>
    <row r="291" spans="4:11" ht="12.75">
      <c r="D291" s="4" t="s">
        <v>1231</v>
      </c>
      <c r="E291" s="4">
        <v>3</v>
      </c>
      <c r="F291" s="4">
        <f>Dodatni!H80</f>
        <v>290</v>
      </c>
      <c r="H291" s="26">
        <f t="shared" si="14"/>
        <v>1802466</v>
      </c>
      <c r="I291" s="4">
        <f t="shared" si="15"/>
        <v>0</v>
      </c>
      <c r="J291" s="27">
        <f>Dodatni!I80</f>
        <v>253004</v>
      </c>
      <c r="K291" s="27">
        <f>Dodatni!J80</f>
        <v>184268</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0"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PONIKVE USLUGA d.o.o.</v>
      </c>
      <c r="X2" s="204" t="s">
        <v>2310</v>
      </c>
      <c r="Y2" s="223">
        <f>IF(RefStr!C54&lt;&gt;"",RefStr!C54,"")</f>
        <v>100</v>
      </c>
      <c r="Z2" s="204" t="s">
        <v>1117</v>
      </c>
      <c r="AA2" s="223">
        <f>IF(RefStr!B64="","",RefStr!B64)</f>
      </c>
    </row>
    <row r="3" spans="1:27" ht="13.5" customHeight="1">
      <c r="A3" s="503" t="s">
        <v>1348</v>
      </c>
      <c r="B3" s="504"/>
      <c r="C3" s="504"/>
      <c r="D3" s="504"/>
      <c r="E3" s="504"/>
      <c r="F3" s="504"/>
      <c r="G3" s="504"/>
      <c r="H3" s="504"/>
      <c r="I3" s="511"/>
      <c r="J3" s="512"/>
      <c r="L3" s="141"/>
      <c r="M3" s="141"/>
      <c r="N3" s="203" t="s">
        <v>2688</v>
      </c>
      <c r="O3" s="206">
        <f>RDG!Q1</f>
        <v>1</v>
      </c>
      <c r="P3" s="207">
        <f>RDG!Q2</f>
        <v>1</v>
      </c>
      <c r="Q3" s="224">
        <f>RDG!Q3</f>
        <v>1</v>
      </c>
      <c r="R3" s="206" t="s">
        <v>2788</v>
      </c>
      <c r="S3" s="224">
        <f>IF(RefStr!C50&lt;&gt;"",IF(ISERROR(INT(RefStr!C50)),0,RefStr!C50),0)</f>
        <v>2</v>
      </c>
      <c r="T3" s="206" t="s">
        <v>1290</v>
      </c>
      <c r="U3" s="224">
        <f>RefStr!L21</f>
        <v>0</v>
      </c>
      <c r="V3" s="206" t="s">
        <v>1594</v>
      </c>
      <c r="W3" s="224">
        <f>RefStr!C31</f>
        <v>51500</v>
      </c>
      <c r="X3" s="206" t="s">
        <v>2311</v>
      </c>
      <c r="Y3" s="224">
        <f>IF(RefStr!F54&lt;&gt;"",RefStr!F54,"")</f>
        <v>0</v>
      </c>
      <c r="Z3" s="206" t="s">
        <v>1118</v>
      </c>
      <c r="AA3" s="224">
        <f>IF(RefStr!B66="","",RefStr!B66)</f>
      </c>
    </row>
    <row r="4" spans="1:27" ht="13.5" customHeight="1">
      <c r="A4" s="505"/>
      <c r="B4" s="506"/>
      <c r="C4" s="506"/>
      <c r="D4" s="506"/>
      <c r="E4" s="506"/>
      <c r="F4" s="506"/>
      <c r="G4" s="506"/>
      <c r="H4" s="506"/>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92143159456</v>
      </c>
      <c r="V4" s="206" t="s">
        <v>1595</v>
      </c>
      <c r="W4" s="224" t="str">
        <f>RefStr!F31</f>
        <v>Krk</v>
      </c>
      <c r="X4" s="226" t="s">
        <v>2324</v>
      </c>
      <c r="Y4" s="227" t="str">
        <f>RefStr!I68</f>
        <v>DA</v>
      </c>
      <c r="Z4" s="206" t="s">
        <v>63</v>
      </c>
      <c r="AA4" s="224" t="str">
        <f>RefStr!N19</f>
        <v>HSFI</v>
      </c>
    </row>
    <row r="5" spans="1:27" ht="13.5" customHeight="1">
      <c r="A5" s="505"/>
      <c r="B5" s="506"/>
      <c r="C5" s="506"/>
      <c r="D5" s="506"/>
      <c r="E5" s="506"/>
      <c r="F5" s="506"/>
      <c r="G5" s="506"/>
      <c r="H5" s="506"/>
      <c r="I5" s="513"/>
      <c r="J5" s="514"/>
      <c r="L5" s="3"/>
      <c r="M5" s="3"/>
      <c r="N5" s="203" t="s">
        <v>1232</v>
      </c>
      <c r="O5" s="206">
        <f>NT_I!Q1</f>
        <v>0</v>
      </c>
      <c r="P5" s="207">
        <f>NT_I!Q2</f>
        <v>0</v>
      </c>
      <c r="Q5" s="224">
        <f>NT_I!Q3</f>
        <v>0</v>
      </c>
      <c r="R5" s="206" t="s">
        <v>1746</v>
      </c>
      <c r="S5" s="224">
        <f>IF(RefStr!C19&lt;&gt;"",IF(ISERROR(INT(RefStr!C19)),0,RefStr!C19),0)</f>
        <v>3</v>
      </c>
      <c r="T5" s="206" t="s">
        <v>433</v>
      </c>
      <c r="U5" s="224" t="str">
        <f>RefStr!H27</f>
        <v>04129482</v>
      </c>
      <c r="V5" s="206" t="s">
        <v>1596</v>
      </c>
      <c r="W5" s="224" t="str">
        <f>RefStr!C33</f>
        <v>Vršanska 14</v>
      </c>
      <c r="X5" s="226" t="s">
        <v>22</v>
      </c>
      <c r="Y5" s="227" t="str">
        <f>RefStr!I62</f>
        <v>NE</v>
      </c>
      <c r="Z5" s="206" t="s">
        <v>2821</v>
      </c>
      <c r="AA5" s="224">
        <f>RefStr!M46</f>
        <v>0</v>
      </c>
    </row>
    <row r="6" spans="1:27" ht="13.5" customHeight="1">
      <c r="A6" s="505"/>
      <c r="B6" s="506"/>
      <c r="C6" s="506"/>
      <c r="D6" s="506"/>
      <c r="E6" s="506"/>
      <c r="F6" s="506"/>
      <c r="G6" s="506"/>
      <c r="H6" s="506"/>
      <c r="I6" s="513"/>
      <c r="J6" s="514"/>
      <c r="L6" s="3"/>
      <c r="M6" s="3"/>
      <c r="N6" s="203" t="s">
        <v>1233</v>
      </c>
      <c r="O6" s="206">
        <f>NT_D!Q1</f>
        <v>0</v>
      </c>
      <c r="P6" s="207">
        <f>NT_D!Q2</f>
        <v>0</v>
      </c>
      <c r="Q6" s="224">
        <f>NT_D!Q3</f>
        <v>0</v>
      </c>
      <c r="R6" s="206" t="s">
        <v>1744</v>
      </c>
      <c r="S6" s="224" t="str">
        <f>RefStr!C21</f>
        <v>NE</v>
      </c>
      <c r="T6" s="206" t="s">
        <v>434</v>
      </c>
      <c r="U6" s="224" t="str">
        <f>RefStr!M27</f>
        <v>040315389</v>
      </c>
      <c r="V6" s="206" t="s">
        <v>61</v>
      </c>
      <c r="W6" s="224" t="str">
        <f>RefStr!L35</f>
        <v>051654620</v>
      </c>
      <c r="X6" s="206" t="s">
        <v>19</v>
      </c>
      <c r="Y6" s="224" t="str">
        <f>RefStr!C68</f>
        <v>Zvjezdana Ponoš</v>
      </c>
      <c r="Z6" s="206" t="s">
        <v>45</v>
      </c>
      <c r="AA6" s="224">
        <f>RefStr!C46</f>
        <v>0</v>
      </c>
    </row>
    <row r="7" spans="1:27" ht="13.5" customHeight="1">
      <c r="A7" s="505"/>
      <c r="B7" s="506"/>
      <c r="C7" s="506"/>
      <c r="D7" s="506"/>
      <c r="E7" s="506"/>
      <c r="F7" s="506"/>
      <c r="G7" s="506"/>
      <c r="H7" s="506"/>
      <c r="I7" s="214" t="s">
        <v>2092</v>
      </c>
      <c r="J7" s="216">
        <f>SUM(M12:M122)</f>
        <v>0</v>
      </c>
      <c r="N7" s="203" t="s">
        <v>2689</v>
      </c>
      <c r="O7" s="206">
        <f>PK!AC1</f>
        <v>0</v>
      </c>
      <c r="P7" s="207">
        <f>PK!AC2</f>
        <v>0</v>
      </c>
      <c r="Q7" s="224">
        <f>PK!AC3</f>
        <v>0</v>
      </c>
      <c r="R7" s="206" t="s">
        <v>62</v>
      </c>
      <c r="S7" s="224">
        <f>IF(RefStr!C44&lt;&gt;"",IF(ISERROR(INT(RefStr!C44)),0,RefStr!C44),0)</f>
        <v>1</v>
      </c>
      <c r="T7" s="206" t="s">
        <v>2810</v>
      </c>
      <c r="U7" s="224">
        <f>RefStr!C7</f>
        <v>1</v>
      </c>
      <c r="V7" s="206" t="s">
        <v>1742</v>
      </c>
      <c r="W7" s="224" t="str">
        <f>TRIM(UPPER(RefStr!C35))</f>
        <v>PONIKVE@PONIKVE.HR</v>
      </c>
      <c r="X7" s="206" t="s">
        <v>20</v>
      </c>
      <c r="Y7" s="224" t="str">
        <f>RefStr!C70</f>
        <v>051654620</v>
      </c>
      <c r="Z7" s="206" t="s">
        <v>46</v>
      </c>
      <c r="AA7" s="224">
        <f>RefStr!D46</f>
      </c>
    </row>
    <row r="8" spans="1:27" ht="13.5" customHeight="1">
      <c r="A8" s="507"/>
      <c r="B8" s="508"/>
      <c r="C8" s="508"/>
      <c r="D8" s="508"/>
      <c r="E8" s="508"/>
      <c r="F8" s="508"/>
      <c r="G8" s="508"/>
      <c r="H8" s="508"/>
      <c r="I8" s="509"/>
      <c r="J8" s="510"/>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Javno trgovačko društvo</v>
      </c>
      <c r="V8" s="206" t="s">
        <v>67</v>
      </c>
      <c r="W8" s="224" t="str">
        <f>RefStr!C42</f>
        <v>6920</v>
      </c>
      <c r="X8" s="206" t="s">
        <v>21</v>
      </c>
      <c r="Y8" s="224" t="str">
        <f>TRIM(UPPER(RefStr!C72))</f>
        <v>ZVJEZDANA.PONOS@PONIKVE.HR</v>
      </c>
      <c r="Z8" s="228" t="s">
        <v>2321</v>
      </c>
      <c r="AA8" s="229" t="str">
        <f>RefStr!I56</f>
        <v>DA</v>
      </c>
    </row>
    <row r="9" spans="1:27" ht="13.5" customHeight="1">
      <c r="A9" s="515" t="s">
        <v>2713</v>
      </c>
      <c r="B9" s="515"/>
      <c r="C9" s="515" t="s">
        <v>2857</v>
      </c>
      <c r="D9" s="515"/>
      <c r="E9" s="515"/>
      <c r="F9" s="515"/>
      <c r="G9" s="515"/>
      <c r="H9" s="515"/>
      <c r="I9" s="515"/>
      <c r="J9" s="515"/>
      <c r="L9" s="190"/>
      <c r="M9" s="190"/>
      <c r="O9" s="222" t="s">
        <v>337</v>
      </c>
      <c r="P9" s="204">
        <f>RefStr!C58</f>
        <v>20</v>
      </c>
      <c r="Q9" s="223">
        <f>RefStr!F58</f>
        <v>20</v>
      </c>
      <c r="R9" s="206" t="s">
        <v>2808</v>
      </c>
      <c r="S9" s="224">
        <f>IF(RefStr!F4&lt;&gt;"",RefStr!F4,0)</f>
        <v>44561</v>
      </c>
      <c r="T9" s="206" t="s">
        <v>2785</v>
      </c>
      <c r="U9" s="224">
        <f>RefStr!C39</f>
        <v>215</v>
      </c>
      <c r="V9" s="206" t="s">
        <v>44</v>
      </c>
      <c r="W9" s="224" t="str">
        <f>RefStr!D42</f>
        <v>Računovodstvene, knjigovodstvene i rev...</v>
      </c>
      <c r="X9" s="230" t="s">
        <v>2323</v>
      </c>
      <c r="Y9" s="231" t="str">
        <f>RefStr!I66</f>
        <v>DA</v>
      </c>
      <c r="Z9" s="228" t="s">
        <v>2322</v>
      </c>
      <c r="AA9" s="229" t="str">
        <f>RefStr!I64</f>
        <v>NE</v>
      </c>
    </row>
    <row r="10" spans="1:27" ht="13.5" customHeight="1">
      <c r="A10" s="516"/>
      <c r="B10" s="516"/>
      <c r="C10" s="516"/>
      <c r="D10" s="516"/>
      <c r="E10" s="516"/>
      <c r="F10" s="516"/>
      <c r="G10" s="516"/>
      <c r="H10" s="516"/>
      <c r="I10" s="516"/>
      <c r="J10" s="516"/>
      <c r="L10" s="190"/>
      <c r="M10" s="190"/>
      <c r="O10" s="222" t="s">
        <v>2539</v>
      </c>
      <c r="P10" s="208">
        <f>RefStr!C56</f>
        <v>20</v>
      </c>
      <c r="Q10" s="225">
        <f>RefStr!F56</f>
        <v>20</v>
      </c>
      <c r="R10" s="208" t="s">
        <v>2811</v>
      </c>
      <c r="S10" s="225">
        <f>RefStr!C23</f>
        <v>1</v>
      </c>
      <c r="T10" s="208" t="s">
        <v>66</v>
      </c>
      <c r="U10" s="225" t="str">
        <f>RefStr!D39</f>
        <v>Krk</v>
      </c>
      <c r="V10" s="232"/>
      <c r="W10" s="233"/>
      <c r="X10" s="234" t="s">
        <v>721</v>
      </c>
      <c r="Y10" s="235">
        <f>RefStr!F12</f>
        <v>2021</v>
      </c>
      <c r="Z10" s="208" t="s">
        <v>2312</v>
      </c>
      <c r="AA10" s="225" t="str">
        <f>RefStr!A75</f>
        <v>Mr.sc.Ivica Plišić dipl.ing.građ.</v>
      </c>
    </row>
    <row r="11" spans="1:25" ht="13.5" customHeight="1">
      <c r="A11" s="517" t="s">
        <v>365</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3" t="s">
        <v>410</v>
      </c>
      <c r="D42" s="493"/>
      <c r="E42" s="493"/>
      <c r="F42" s="493"/>
      <c r="G42" s="493"/>
      <c r="H42" s="493"/>
      <c r="I42" s="493"/>
      <c r="J42" s="493"/>
      <c r="L42" s="190">
        <f aca="true" t="shared" si="5" ref="L42:L49">MAX(N42:R42)</f>
        <v>0</v>
      </c>
      <c r="M42" s="190"/>
      <c r="N42" s="190">
        <f>IF(LEN(AA10)&lt;5,1,0)</f>
        <v>0</v>
      </c>
      <c r="O42" s="190"/>
    </row>
    <row r="43" spans="1:16" ht="19.5" customHeight="1">
      <c r="A43" s="520" t="s">
        <v>158</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2335</v>
      </c>
      <c r="Q50" s="197">
        <f>IF(Bilanca!I73&gt;2600000,1,0)</f>
        <v>1</v>
      </c>
      <c r="R50" s="196">
        <f>IF(RDG!I60&gt;5200000,1,0)</f>
        <v>1</v>
      </c>
      <c r="S50" s="196">
        <f>IF(P10&gt;10,1,0)</f>
        <v>1</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2</v>
      </c>
      <c r="AD50" s="197" t="s">
        <v>2335</v>
      </c>
      <c r="AE50" s="197">
        <f>IF(Bilanca!J73&gt;2600000,1,0)</f>
        <v>1</v>
      </c>
      <c r="AF50" s="196">
        <f>IF(S9&gt;S8,IF(RDG!J60*365/(S9-S8)&gt;5200000,1,0),0)</f>
        <v>1</v>
      </c>
      <c r="AG50" s="196">
        <f>IF(Q10&gt;10,1,0)</f>
        <v>1</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499" t="s">
        <v>1510</v>
      </c>
      <c r="D68" s="497"/>
      <c r="E68" s="497"/>
      <c r="F68" s="497"/>
      <c r="G68" s="497"/>
      <c r="H68" s="497"/>
      <c r="I68" s="497"/>
      <c r="J68" s="498"/>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497"/>
      <c r="E71" s="497"/>
      <c r="F71" s="497"/>
      <c r="G71" s="497"/>
      <c r="H71" s="497"/>
      <c r="I71" s="497"/>
      <c r="J71" s="498"/>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3" t="s">
        <v>860</v>
      </c>
      <c r="D72" s="493"/>
      <c r="E72" s="493"/>
      <c r="F72" s="493"/>
      <c r="G72" s="493"/>
      <c r="H72" s="493"/>
      <c r="I72" s="493"/>
      <c r="J72" s="493"/>
      <c r="L72" s="195">
        <f>MAX(N72:O72)</f>
        <v>0</v>
      </c>
      <c r="M72" s="191">
        <f>MAX(S72:W72)</f>
        <v>0</v>
      </c>
      <c r="N72" s="191">
        <f>IF(MIN(Dodatni!I9:J67,Dodatni!I71:I88)&lt;0,1,0)</f>
        <v>0</v>
      </c>
      <c r="O72" s="190"/>
      <c r="P72" s="191"/>
      <c r="Q72" s="192"/>
      <c r="S72" s="193">
        <f>IF(MIN(Dodatni!I68:J70)&lt;0,1,0)</f>
        <v>0</v>
      </c>
    </row>
    <row r="73" spans="1:16" ht="19.5" customHeight="1">
      <c r="A73" s="494" t="s">
        <v>2189</v>
      </c>
      <c r="B73" s="495"/>
      <c r="C73" s="495"/>
      <c r="D73" s="495"/>
      <c r="E73" s="495"/>
      <c r="F73" s="495"/>
      <c r="G73" s="495"/>
      <c r="H73" s="495"/>
      <c r="I73" s="495"/>
      <c r="J73" s="496"/>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3" t="s">
        <v>1681</v>
      </c>
      <c r="D108" s="493"/>
      <c r="E108" s="493"/>
      <c r="F108" s="493"/>
      <c r="G108" s="493"/>
      <c r="H108" s="493"/>
      <c r="I108" s="493"/>
      <c r="J108" s="493"/>
      <c r="L108" s="190">
        <f>MAX(N108:R108)</f>
        <v>0</v>
      </c>
      <c r="M108" s="195"/>
      <c r="N108" s="195">
        <f>IF(MID(P108,2,1)&lt;&gt;".",1,0)</f>
        <v>0</v>
      </c>
      <c r="O108" s="195">
        <f>IF(MID(P108,6,1)&lt;&gt;",",1,0)</f>
        <v>0</v>
      </c>
      <c r="P108" s="190" t="str">
        <f>TEXT(1000.1,"#.000,00")</f>
        <v>1.000,10</v>
      </c>
    </row>
    <row r="109" spans="1:10" ht="19.5" customHeight="1">
      <c r="A109" s="500" t="s">
        <v>2853</v>
      </c>
      <c r="B109" s="501"/>
      <c r="C109" s="501"/>
      <c r="D109" s="501"/>
      <c r="E109" s="501"/>
      <c r="F109" s="501"/>
      <c r="G109" s="501"/>
      <c r="H109" s="501"/>
      <c r="I109" s="501"/>
      <c r="J109" s="502"/>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D:\Ponikve\Dokumenti\analize poslovanja\Izvjesca\fin.izvješća 21\analiza 2021\GFI\[USLUGA GFI-POD 2021.xls]Bilanca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3" t="s">
        <v>1779</v>
      </c>
      <c r="D122" s="493"/>
      <c r="E122" s="493"/>
      <c r="F122" s="493"/>
      <c r="G122" s="493"/>
      <c r="H122" s="493"/>
      <c r="I122" s="493"/>
      <c r="J122" s="493"/>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49:J49"/>
    <mergeCell ref="C40:J40"/>
    <mergeCell ref="C42:J42"/>
    <mergeCell ref="C21:J21"/>
    <mergeCell ref="C39:J39"/>
    <mergeCell ref="C37:J37"/>
    <mergeCell ref="C38:J38"/>
    <mergeCell ref="C46:J46"/>
    <mergeCell ref="C47:J47"/>
    <mergeCell ref="C36:J36"/>
    <mergeCell ref="C59:J59"/>
    <mergeCell ref="C63:J63"/>
    <mergeCell ref="C45:J45"/>
    <mergeCell ref="C58:J58"/>
    <mergeCell ref="A11:J11"/>
    <mergeCell ref="A9:B10"/>
    <mergeCell ref="C41:J41"/>
    <mergeCell ref="C52:J52"/>
    <mergeCell ref="C53:J53"/>
    <mergeCell ref="C12:J12"/>
    <mergeCell ref="A3:H8"/>
    <mergeCell ref="I8:J8"/>
    <mergeCell ref="I3:J3"/>
    <mergeCell ref="I5:J5"/>
    <mergeCell ref="I6:J6"/>
    <mergeCell ref="C9:J10"/>
    <mergeCell ref="C64:J64"/>
    <mergeCell ref="C65:J65"/>
    <mergeCell ref="C104:J104"/>
    <mergeCell ref="C103:J103"/>
    <mergeCell ref="C101:J101"/>
    <mergeCell ref="C78:J78"/>
    <mergeCell ref="C83:J83"/>
    <mergeCell ref="C100:J100"/>
    <mergeCell ref="C97:J97"/>
    <mergeCell ref="C84:J84"/>
    <mergeCell ref="C122:J122"/>
    <mergeCell ref="C121:J121"/>
    <mergeCell ref="C120:J120"/>
    <mergeCell ref="C110:J110"/>
    <mergeCell ref="C112:J112"/>
    <mergeCell ref="C111:J111"/>
    <mergeCell ref="C119:J119"/>
    <mergeCell ref="C118:J118"/>
    <mergeCell ref="C115:J115"/>
    <mergeCell ref="C48:J48"/>
    <mergeCell ref="C60:J60"/>
    <mergeCell ref="C61:J61"/>
    <mergeCell ref="C62:J62"/>
    <mergeCell ref="C50:J50"/>
    <mergeCell ref="C66:J66"/>
    <mergeCell ref="C54:J54"/>
    <mergeCell ref="C55:J55"/>
    <mergeCell ref="C51:J51"/>
    <mergeCell ref="C57:J57"/>
    <mergeCell ref="C108:J108"/>
    <mergeCell ref="C117:J117"/>
    <mergeCell ref="A109:J109"/>
    <mergeCell ref="C116:J116"/>
    <mergeCell ref="C113:J113"/>
    <mergeCell ref="C114:J114"/>
    <mergeCell ref="C99:J99"/>
    <mergeCell ref="C81:J81"/>
    <mergeCell ref="C96:J96"/>
    <mergeCell ref="C87:J87"/>
    <mergeCell ref="C85:J85"/>
    <mergeCell ref="C95:J95"/>
    <mergeCell ref="C93:J93"/>
    <mergeCell ref="C94:J94"/>
    <mergeCell ref="C76:J76"/>
    <mergeCell ref="C90:J90"/>
    <mergeCell ref="C89:J89"/>
    <mergeCell ref="C77:J77"/>
    <mergeCell ref="C82:J82"/>
    <mergeCell ref="C86:J86"/>
    <mergeCell ref="C80:J80"/>
    <mergeCell ref="C79:J79"/>
    <mergeCell ref="C88:J88"/>
    <mergeCell ref="C75:J75"/>
    <mergeCell ref="C70:J70"/>
    <mergeCell ref="C67:J67"/>
    <mergeCell ref="C69:J69"/>
    <mergeCell ref="C74:J74"/>
    <mergeCell ref="C72:J72"/>
    <mergeCell ref="A73:J73"/>
    <mergeCell ref="C71:J71"/>
    <mergeCell ref="C68:J68"/>
    <mergeCell ref="C26:J26"/>
    <mergeCell ref="C28:J28"/>
    <mergeCell ref="C27:J27"/>
    <mergeCell ref="C35:J35"/>
    <mergeCell ref="C32:J32"/>
    <mergeCell ref="C29:J29"/>
    <mergeCell ref="C31:J31"/>
    <mergeCell ref="C30:J30"/>
    <mergeCell ref="C33:J33"/>
    <mergeCell ref="C34:J34"/>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55" t="s">
        <v>2246</v>
      </c>
      <c r="B2" s="256"/>
      <c r="C2" s="256"/>
      <c r="D2" s="256"/>
      <c r="E2" s="256"/>
      <c r="F2" s="256"/>
      <c r="G2" s="256"/>
      <c r="H2" s="256"/>
      <c r="I2" s="256"/>
      <c r="J2" s="257"/>
    </row>
    <row r="3" spans="1:10" ht="20.25" customHeight="1">
      <c r="A3" s="270" t="s">
        <v>2279</v>
      </c>
      <c r="B3" s="262"/>
      <c r="C3" s="271"/>
      <c r="D3" s="267" t="s">
        <v>1941</v>
      </c>
      <c r="E3" s="268"/>
      <c r="F3" s="268"/>
      <c r="G3" s="268"/>
      <c r="H3" s="268"/>
      <c r="I3" s="268"/>
      <c r="J3" s="269"/>
    </row>
    <row r="4" spans="1:10" ht="33" customHeight="1">
      <c r="A4" s="264" t="s">
        <v>2245</v>
      </c>
      <c r="B4" s="265"/>
      <c r="C4" s="265"/>
      <c r="D4" s="265"/>
      <c r="E4" s="265"/>
      <c r="F4" s="265"/>
      <c r="G4" s="265"/>
      <c r="H4" s="265"/>
      <c r="I4" s="265"/>
      <c r="J4" s="266"/>
    </row>
    <row r="5" spans="1:10" ht="18.75" customHeight="1">
      <c r="A5" s="61" t="s">
        <v>841</v>
      </c>
      <c r="B5" s="258" t="s">
        <v>1934</v>
      </c>
      <c r="C5" s="259"/>
      <c r="D5" s="259"/>
      <c r="E5" s="259"/>
      <c r="F5" s="259"/>
      <c r="G5" s="259"/>
      <c r="H5" s="259"/>
      <c r="I5" s="259"/>
      <c r="J5" s="260"/>
    </row>
    <row r="6" spans="1:10" ht="18.75" customHeight="1" hidden="1">
      <c r="A6" s="62" t="s">
        <v>1936</v>
      </c>
      <c r="B6" s="261" t="s">
        <v>1935</v>
      </c>
      <c r="C6" s="262"/>
      <c r="D6" s="262"/>
      <c r="E6" s="262"/>
      <c r="F6" s="262"/>
      <c r="G6" s="262"/>
      <c r="H6" s="262"/>
      <c r="I6" s="262"/>
      <c r="J6" s="263"/>
    </row>
    <row r="7" spans="1:10" ht="95.25" customHeight="1" hidden="1">
      <c r="A7" s="62" t="s">
        <v>1517</v>
      </c>
      <c r="B7" s="252" t="s">
        <v>1518</v>
      </c>
      <c r="C7" s="253"/>
      <c r="D7" s="253"/>
      <c r="E7" s="253"/>
      <c r="F7" s="253"/>
      <c r="G7" s="253"/>
      <c r="H7" s="253"/>
      <c r="I7" s="253"/>
      <c r="J7" s="254"/>
    </row>
    <row r="8" spans="1:10" ht="36.75" customHeight="1" hidden="1">
      <c r="A8" s="62" t="s">
        <v>1035</v>
      </c>
      <c r="B8" s="249" t="s">
        <v>2325</v>
      </c>
      <c r="C8" s="250"/>
      <c r="D8" s="250"/>
      <c r="E8" s="250"/>
      <c r="F8" s="250"/>
      <c r="G8" s="250"/>
      <c r="H8" s="250"/>
      <c r="I8" s="250"/>
      <c r="J8" s="251"/>
    </row>
    <row r="9" spans="1:10" ht="69.75" customHeight="1" hidden="1">
      <c r="A9" s="62" t="s">
        <v>1818</v>
      </c>
      <c r="B9" s="249" t="s">
        <v>415</v>
      </c>
      <c r="C9" s="250"/>
      <c r="D9" s="250"/>
      <c r="E9" s="250"/>
      <c r="F9" s="250"/>
      <c r="G9" s="250"/>
      <c r="H9" s="250"/>
      <c r="I9" s="250"/>
      <c r="J9" s="251"/>
    </row>
    <row r="10" spans="1:10" ht="76.5" customHeight="1" hidden="1">
      <c r="A10" s="62" t="s">
        <v>7</v>
      </c>
      <c r="B10" s="249" t="s">
        <v>2597</v>
      </c>
      <c r="C10" s="250"/>
      <c r="D10" s="250"/>
      <c r="E10" s="250"/>
      <c r="F10" s="250"/>
      <c r="G10" s="250"/>
      <c r="H10" s="250"/>
      <c r="I10" s="250"/>
      <c r="J10" s="251"/>
    </row>
    <row r="11" spans="1:10" ht="30.75" customHeight="1">
      <c r="A11" s="62" t="s">
        <v>2243</v>
      </c>
      <c r="B11" s="249" t="s">
        <v>2244</v>
      </c>
      <c r="C11" s="250"/>
      <c r="D11" s="250"/>
      <c r="E11" s="250"/>
      <c r="F11" s="250"/>
      <c r="G11" s="250"/>
      <c r="H11" s="250"/>
      <c r="I11" s="250"/>
      <c r="J11" s="251"/>
    </row>
    <row r="12" spans="1:10" ht="30.75" customHeight="1">
      <c r="A12" s="62" t="s">
        <v>1270</v>
      </c>
      <c r="B12" s="249" t="s">
        <v>1271</v>
      </c>
      <c r="C12" s="250"/>
      <c r="D12" s="250"/>
      <c r="E12" s="250"/>
      <c r="F12" s="250"/>
      <c r="G12" s="250"/>
      <c r="H12" s="250"/>
      <c r="I12" s="250"/>
      <c r="J12" s="251"/>
    </row>
    <row r="13" ht="6" customHeight="1"/>
  </sheetData>
  <sheetProtection password="C79A" sheet="1" objects="1" scenarios="1"/>
  <mergeCells count="12">
    <mergeCell ref="A2:J2"/>
    <mergeCell ref="B5:J5"/>
    <mergeCell ref="B6:J6"/>
    <mergeCell ref="A4:J4"/>
    <mergeCell ref="D3:J3"/>
    <mergeCell ref="A3:C3"/>
    <mergeCell ref="B12:J12"/>
    <mergeCell ref="B9:J9"/>
    <mergeCell ref="B8:J8"/>
    <mergeCell ref="B7:J7"/>
    <mergeCell ref="B11:J11"/>
    <mergeCell ref="B10:J10"/>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37"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43" t="s">
        <v>1372</v>
      </c>
      <c r="B2" s="344"/>
      <c r="C2" s="344"/>
      <c r="D2" s="344"/>
      <c r="E2" s="344"/>
      <c r="F2" s="344"/>
      <c r="G2" s="344"/>
      <c r="H2" s="344"/>
      <c r="I2" s="344"/>
      <c r="J2" s="344"/>
      <c r="K2" s="344"/>
      <c r="L2" s="344"/>
      <c r="M2" s="344"/>
      <c r="N2" s="345"/>
      <c r="O2" s="3"/>
      <c r="P2" s="50"/>
      <c r="Q2" s="49">
        <f>IF(F4&lt;&gt;"",YEAR(F4),"")</f>
        <v>2021</v>
      </c>
    </row>
    <row r="3" spans="1:17" s="144" customFormat="1" ht="22.5" customHeight="1">
      <c r="A3" s="353"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4"/>
      <c r="C3" s="354"/>
      <c r="D3" s="354"/>
      <c r="E3" s="354"/>
      <c r="F3" s="354"/>
      <c r="G3" s="354"/>
      <c r="H3" s="354"/>
      <c r="I3" s="354"/>
      <c r="J3" s="354"/>
      <c r="K3" s="354"/>
      <c r="L3" s="354"/>
      <c r="M3" s="354"/>
      <c r="N3" s="355"/>
      <c r="O3" s="3"/>
      <c r="P3" s="50"/>
      <c r="Q3" s="50"/>
    </row>
    <row r="4" spans="1:17" s="144" customFormat="1" ht="15" customHeight="1">
      <c r="A4" s="346" t="s">
        <v>1226</v>
      </c>
      <c r="B4" s="347"/>
      <c r="C4" s="356">
        <v>44197</v>
      </c>
      <c r="D4" s="357"/>
      <c r="E4" s="7" t="s">
        <v>1236</v>
      </c>
      <c r="F4" s="356">
        <v>44561</v>
      </c>
      <c r="G4" s="357"/>
      <c r="H4" s="348" t="s">
        <v>2080</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46" t="s">
        <v>1235</v>
      </c>
      <c r="B7" s="347"/>
      <c r="C7" s="244">
        <v>1</v>
      </c>
      <c r="D7" s="34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0"/>
      <c r="F7" s="350"/>
      <c r="G7" s="350"/>
      <c r="H7" s="350"/>
      <c r="I7" s="350"/>
      <c r="J7" s="350"/>
      <c r="K7" s="350"/>
      <c r="L7" s="350"/>
      <c r="M7" s="350"/>
      <c r="N7" s="350"/>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51" t="s">
        <v>2626</v>
      </c>
      <c r="B10" s="352"/>
      <c r="C10" s="157"/>
      <c r="D10" s="157"/>
      <c r="E10" s="153"/>
      <c r="F10" s="154"/>
      <c r="G10" s="155"/>
      <c r="H10" s="152"/>
      <c r="I10" s="152"/>
      <c r="J10" s="152"/>
      <c r="K10" s="366" t="s">
        <v>718</v>
      </c>
      <c r="L10" s="367"/>
      <c r="M10" s="367"/>
      <c r="N10" s="368"/>
      <c r="P10" s="50" t="s">
        <v>2779</v>
      </c>
      <c r="Q10" s="51">
        <f>IF(F4&lt;&gt;"",YEAR(F4)/100+MONTH(F4)/2+DAY(F4),0)</f>
        <v>57.21</v>
      </c>
    </row>
    <row r="11" spans="1:17" ht="30" customHeight="1">
      <c r="A11" s="371" t="s">
        <v>2520</v>
      </c>
      <c r="B11" s="372"/>
      <c r="C11" s="372"/>
      <c r="D11" s="372"/>
      <c r="E11" s="372"/>
      <c r="F11" s="372"/>
      <c r="G11" s="372"/>
      <c r="H11" s="372"/>
      <c r="I11" s="372"/>
      <c r="J11" s="372"/>
      <c r="K11" s="372"/>
      <c r="L11" s="372"/>
      <c r="M11" s="372"/>
      <c r="N11" s="372"/>
      <c r="P11" s="50" t="s">
        <v>2780</v>
      </c>
      <c r="Q11" s="51">
        <f>INT(VALUE(C17))</f>
        <v>10</v>
      </c>
    </row>
    <row r="12" spans="4:17" ht="19.5" customHeight="1">
      <c r="D12" s="152"/>
      <c r="E12" s="158" t="s">
        <v>199</v>
      </c>
      <c r="F12" s="380">
        <v>2021</v>
      </c>
      <c r="G12" s="381"/>
      <c r="H12" s="359" t="s">
        <v>2524</v>
      </c>
      <c r="I12" s="360"/>
      <c r="J12" s="360"/>
      <c r="K12" s="152"/>
      <c r="L12" s="152"/>
      <c r="M12" s="152"/>
      <c r="N12" s="152"/>
      <c r="P12" s="50" t="s">
        <v>434</v>
      </c>
      <c r="Q12" s="51">
        <f>INT(VALUE(H27))/10</f>
        <v>412948.2</v>
      </c>
    </row>
    <row r="13" spans="4:17" ht="9.75" customHeight="1">
      <c r="D13" s="152"/>
      <c r="E13" s="158"/>
      <c r="H13" s="23"/>
      <c r="I13" s="159"/>
      <c r="J13" s="159"/>
      <c r="K13" s="152"/>
      <c r="L13" s="152"/>
      <c r="M13" s="152"/>
      <c r="N13" s="152"/>
      <c r="P13" s="50" t="s">
        <v>434</v>
      </c>
      <c r="Q13" s="51">
        <f>INT(VALUE(M27))/50</f>
        <v>806307.78</v>
      </c>
    </row>
    <row r="14" spans="1:17" ht="15">
      <c r="A14" s="375" t="s">
        <v>185</v>
      </c>
      <c r="B14" s="375"/>
      <c r="C14" s="375"/>
      <c r="D14" s="160"/>
      <c r="E14" s="161"/>
      <c r="F14" s="373"/>
      <c r="G14" s="374"/>
      <c r="H14" s="374"/>
      <c r="I14" s="152"/>
      <c r="J14" s="364" t="s">
        <v>2519</v>
      </c>
      <c r="K14" s="365"/>
      <c r="L14" s="365"/>
      <c r="M14" s="365"/>
      <c r="N14" s="365"/>
      <c r="P14" s="50" t="s">
        <v>189</v>
      </c>
      <c r="Q14" s="51">
        <f>INT(VALUE(C27))/100</f>
        <v>921431594.56</v>
      </c>
    </row>
    <row r="15" spans="1:17" ht="19.5" customHeight="1">
      <c r="A15" s="361">
        <f>Skriveni!B59</f>
        <v>1335468511.18</v>
      </c>
      <c r="B15" s="362"/>
      <c r="C15" s="363"/>
      <c r="D15" s="56"/>
      <c r="E15" s="56"/>
      <c r="F15" s="56"/>
      <c r="G15" s="56"/>
      <c r="H15" s="56"/>
      <c r="I15" s="56"/>
      <c r="J15" s="56"/>
      <c r="K15" s="56"/>
      <c r="L15" s="56"/>
      <c r="M15" s="56"/>
      <c r="N15" s="56"/>
      <c r="P15" s="50" t="s">
        <v>2781</v>
      </c>
      <c r="Q15" s="51">
        <f>LEN(Skriveni!B9)</f>
        <v>21</v>
      </c>
    </row>
    <row r="16" spans="4:17" ht="12.75" customHeight="1">
      <c r="D16" s="56"/>
      <c r="E16" s="56"/>
      <c r="F16" s="56"/>
      <c r="G16" s="56"/>
      <c r="H16" s="56"/>
      <c r="I16" s="56"/>
      <c r="P16" s="50" t="s">
        <v>2782</v>
      </c>
      <c r="Q16" s="51">
        <f>INT(VALUE(C31))/100</f>
        <v>515</v>
      </c>
    </row>
    <row r="17" spans="1:17" ht="15" customHeight="1">
      <c r="A17" s="276" t="s">
        <v>527</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2783</v>
      </c>
      <c r="Q17" s="51">
        <f>LEN(Skriveni!B11)</f>
        <v>3</v>
      </c>
    </row>
    <row r="18" spans="1:17" ht="7.5" customHeight="1">
      <c r="A18" s="152"/>
      <c r="B18" s="152"/>
      <c r="C18" s="56"/>
      <c r="D18" s="301"/>
      <c r="E18" s="301"/>
      <c r="F18" s="301"/>
      <c r="G18" s="301"/>
      <c r="H18" s="301"/>
      <c r="I18" s="301"/>
      <c r="J18" s="301"/>
      <c r="K18" s="301"/>
      <c r="L18" s="301"/>
      <c r="M18" s="301"/>
      <c r="N18" s="301"/>
      <c r="Q18" s="51"/>
    </row>
    <row r="19" spans="1:17" ht="15" customHeight="1">
      <c r="A19" s="276" t="s">
        <v>187</v>
      </c>
      <c r="B19" s="277"/>
      <c r="C19" s="32">
        <v>3</v>
      </c>
      <c r="D19" s="358"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0"/>
      <c r="F19" s="290"/>
      <c r="G19" s="290"/>
      <c r="H19" s="290"/>
      <c r="I19" s="333" t="s">
        <v>2079</v>
      </c>
      <c r="J19" s="382"/>
      <c r="K19" s="382"/>
      <c r="L19" s="382"/>
      <c r="M19" s="382"/>
      <c r="N19" s="32" t="s">
        <v>2988</v>
      </c>
      <c r="P19" s="50" t="s">
        <v>2784</v>
      </c>
      <c r="Q19" s="51">
        <f>LEN(Skriveni!B12)</f>
        <v>11</v>
      </c>
    </row>
    <row r="20" spans="1:17" ht="7.5" customHeight="1">
      <c r="A20" s="10"/>
      <c r="B20" s="43"/>
      <c r="C20" s="30"/>
      <c r="D20" s="290"/>
      <c r="E20" s="290"/>
      <c r="F20" s="290"/>
      <c r="G20" s="290"/>
      <c r="H20" s="290"/>
      <c r="I20" s="30"/>
      <c r="M20" s="142"/>
      <c r="N20" s="162"/>
      <c r="Q20" s="51"/>
    </row>
    <row r="21" spans="1:17" ht="15" customHeight="1">
      <c r="A21" s="297" t="s">
        <v>2527</v>
      </c>
      <c r="B21" s="294"/>
      <c r="C21" s="245" t="s">
        <v>110</v>
      </c>
      <c r="D21" s="188" t="s">
        <v>2530</v>
      </c>
      <c r="E21" s="276" t="s">
        <v>2528</v>
      </c>
      <c r="F21" s="314"/>
      <c r="G21" s="314"/>
      <c r="H21" s="383"/>
      <c r="I21" s="32" t="s">
        <v>110</v>
      </c>
      <c r="J21" s="384" t="s">
        <v>2529</v>
      </c>
      <c r="K21" s="382"/>
      <c r="L21" s="287"/>
      <c r="M21" s="334"/>
      <c r="N21" s="310"/>
      <c r="P21" s="50" t="s">
        <v>2785</v>
      </c>
      <c r="Q21" s="51">
        <f>INT(VALUE(C39))</f>
        <v>215</v>
      </c>
    </row>
    <row r="22" spans="1:17" ht="4.5" customHeight="1">
      <c r="A22" s="22"/>
      <c r="B22" s="22"/>
      <c r="C22" s="22"/>
      <c r="D22" s="22"/>
      <c r="E22" s="22"/>
      <c r="F22" s="22"/>
      <c r="G22" s="22"/>
      <c r="H22" s="22"/>
      <c r="I22" s="22"/>
      <c r="J22" s="22"/>
      <c r="K22" s="22"/>
      <c r="L22" s="22"/>
      <c r="M22" s="22"/>
      <c r="N22" s="22"/>
      <c r="Q22" s="51"/>
    </row>
    <row r="23" spans="1:17" ht="15" customHeight="1">
      <c r="A23" s="297" t="s">
        <v>808</v>
      </c>
      <c r="B23" s="308"/>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890</v>
      </c>
      <c r="Q23" s="51">
        <f>INT(VALUE(C42))</f>
        <v>6920</v>
      </c>
    </row>
    <row r="24" spans="1:17" ht="9.75" customHeight="1">
      <c r="A24" s="308"/>
      <c r="B24" s="308"/>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3" t="s">
        <v>2521</v>
      </c>
      <c r="B27" s="369"/>
      <c r="C27" s="287" t="s">
        <v>2979</v>
      </c>
      <c r="D27" s="309"/>
      <c r="E27" s="310"/>
      <c r="F27" s="293" t="s">
        <v>1645</v>
      </c>
      <c r="G27" s="307"/>
      <c r="H27" s="287" t="s">
        <v>2980</v>
      </c>
      <c r="I27" s="305"/>
      <c r="J27" s="293" t="s">
        <v>2518</v>
      </c>
      <c r="K27" s="294"/>
      <c r="L27" s="306"/>
      <c r="M27" s="287" t="s">
        <v>2981</v>
      </c>
      <c r="N27" s="305"/>
      <c r="P27" s="50" t="s">
        <v>2786</v>
      </c>
      <c r="Q27" s="51">
        <f>IF(C21="DA",1,0)</f>
        <v>0</v>
      </c>
    </row>
    <row r="28" spans="1:17" ht="9.75" customHeight="1">
      <c r="A28" s="152"/>
      <c r="B28" s="152"/>
      <c r="C28" s="56"/>
      <c r="D28" s="56"/>
      <c r="E28" s="152"/>
      <c r="F28" s="328" t="s">
        <v>2522</v>
      </c>
      <c r="G28" s="328"/>
      <c r="H28" s="328"/>
      <c r="I28" s="328"/>
      <c r="J28" s="328" t="s">
        <v>2523</v>
      </c>
      <c r="K28" s="328"/>
      <c r="L28" s="328"/>
      <c r="M28" s="328"/>
      <c r="N28" s="328"/>
      <c r="Q28" s="51"/>
    </row>
    <row r="29" spans="1:17" ht="15" customHeight="1">
      <c r="A29" s="276" t="s">
        <v>186</v>
      </c>
      <c r="B29" s="277"/>
      <c r="C29" s="302" t="s">
        <v>2982</v>
      </c>
      <c r="D29" s="303"/>
      <c r="E29" s="303"/>
      <c r="F29" s="303"/>
      <c r="G29" s="303"/>
      <c r="H29" s="303"/>
      <c r="I29" s="303"/>
      <c r="J29" s="303"/>
      <c r="K29" s="303"/>
      <c r="L29" s="304"/>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2824</v>
      </c>
      <c r="B31" s="277"/>
      <c r="C31" s="65">
        <v>51500</v>
      </c>
      <c r="D31" s="329" t="s">
        <v>2823</v>
      </c>
      <c r="E31" s="330"/>
      <c r="F31" s="302" t="s">
        <v>2294</v>
      </c>
      <c r="G31" s="331"/>
      <c r="H31" s="331"/>
      <c r="I31" s="331"/>
      <c r="J31" s="331"/>
      <c r="K31" s="331"/>
      <c r="L31" s="332"/>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2184</v>
      </c>
      <c r="B33" s="277"/>
      <c r="C33" s="302" t="s">
        <v>2983</v>
      </c>
      <c r="D33" s="303"/>
      <c r="E33" s="303"/>
      <c r="F33" s="303"/>
      <c r="G33" s="303"/>
      <c r="H33" s="303"/>
      <c r="I33" s="303"/>
      <c r="J33" s="303"/>
      <c r="K33" s="303"/>
      <c r="L33" s="304"/>
      <c r="M33" s="56"/>
      <c r="N33" s="56"/>
      <c r="P33" s="50" t="s">
        <v>2788</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2825</v>
      </c>
      <c r="B35" s="277"/>
      <c r="C35" s="376" t="s">
        <v>2990</v>
      </c>
      <c r="D35" s="377"/>
      <c r="E35" s="377"/>
      <c r="F35" s="377"/>
      <c r="G35" s="377"/>
      <c r="H35" s="377"/>
      <c r="I35" s="378"/>
      <c r="J35" s="277" t="s">
        <v>2291</v>
      </c>
      <c r="K35" s="333"/>
      <c r="L35" s="287" t="s">
        <v>2984</v>
      </c>
      <c r="M35" s="334"/>
      <c r="N35" s="310"/>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2588</v>
      </c>
      <c r="B37" s="277"/>
      <c r="C37" s="370" t="s">
        <v>2985</v>
      </c>
      <c r="D37" s="316"/>
      <c r="E37" s="316"/>
      <c r="F37" s="316"/>
      <c r="G37" s="316"/>
      <c r="H37" s="316"/>
      <c r="I37" s="317"/>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2517</v>
      </c>
      <c r="B39" s="277"/>
      <c r="C39" s="36">
        <v>215</v>
      </c>
      <c r="D39" s="278" t="str">
        <f>IF(C39="","Upišite šifru grada/općine",IF(ISNA(LOOKUP(C39,A177:A732,A177:A732)),"Šifra grada/općine ne postoji",IF(LOOKUP(C39,A177:A732,A177:A732)&lt;&gt;C39,"Šifra grada/općine ne postoji",LOOKUP(C39,A177:A732,B177:B732))))</f>
        <v>Krk</v>
      </c>
      <c r="E39" s="279"/>
      <c r="F39" s="279"/>
      <c r="G39" s="279"/>
      <c r="H39" s="297" t="s">
        <v>1016</v>
      </c>
      <c r="I39" s="306"/>
      <c r="J39" s="54">
        <f>IF(C39&gt;0,LOOKUP(C39,A177:A732,C177:C732),"")</f>
        <v>8</v>
      </c>
      <c r="K39" s="379" t="str">
        <f>IF(J39="","Upišite šifru grada/općine",LOOKUP(J39,A153:A173,B153:B173))</f>
        <v>PRIMORSKO-GORANSKA</v>
      </c>
      <c r="L39" s="379"/>
      <c r="M39" s="379"/>
      <c r="N39" s="379"/>
      <c r="P39" s="50" t="s">
        <v>2790</v>
      </c>
      <c r="Q39" s="51">
        <f>C56+2*F56+3*C58+4*F58</f>
        <v>200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1608</v>
      </c>
      <c r="B42" s="277"/>
      <c r="C42" s="37" t="s">
        <v>204</v>
      </c>
      <c r="D42" s="289" t="str">
        <f>IF(C42="","Upišite šifru razreda glavne djelatnosti",IF(ISNA(LOOKUP(C42,A736:A1351,A736:A1351)),"Šifra NKD-a ne postoji",IF(LOOKUP(C42,A736:A1351,A736:A1351)&lt;&gt;C42,"Šifra NKD-a ne postoji",LOOKUP(C42,A736:A1351,B736:B1351))))</f>
        <v>Računovodstvene, knjigovodstvene i rev...</v>
      </c>
      <c r="E42" s="290"/>
      <c r="F42" s="290"/>
      <c r="G42" s="291"/>
      <c r="H42" s="290"/>
      <c r="I42" s="290"/>
      <c r="J42" s="290"/>
      <c r="K42" s="290"/>
      <c r="L42" s="290"/>
      <c r="M42" s="290"/>
      <c r="N42" s="290"/>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2516</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2"/>
      <c r="F44" s="292"/>
      <c r="G44" s="292"/>
      <c r="H44" s="292"/>
      <c r="I44" s="292"/>
      <c r="J44" s="292"/>
      <c r="K44" s="292"/>
      <c r="L44" s="292"/>
      <c r="M44" s="292"/>
      <c r="N44" s="292"/>
      <c r="P44" s="50" t="s">
        <v>172</v>
      </c>
      <c r="Q44" s="51">
        <f>LEN(Skriveni!B43)</f>
        <v>33</v>
      </c>
    </row>
    <row r="45" spans="1:17" ht="4.5" customHeight="1">
      <c r="A45" s="10"/>
      <c r="B45" s="43"/>
      <c r="C45" s="56"/>
      <c r="D45" s="179"/>
      <c r="E45" s="180"/>
      <c r="F45" s="180"/>
      <c r="G45" s="180"/>
      <c r="H45" s="29"/>
      <c r="I45" s="181"/>
      <c r="J45" s="181"/>
      <c r="K45" s="181"/>
      <c r="L45" s="181"/>
      <c r="M45" s="181"/>
      <c r="N45" s="182"/>
      <c r="Q45" s="51"/>
    </row>
    <row r="46" spans="1:17" ht="15" customHeight="1">
      <c r="A46" s="297" t="s">
        <v>1397</v>
      </c>
      <c r="B46" s="293"/>
      <c r="C46" s="39"/>
      <c r="D46" s="295">
        <f>IF(C46="","",IF(ISNA(LOOKUP(C46,A1355:A1603,A1355:A1603)),"Šifra države nepostojeća",IF(LOOKUP(C46,A1355:A1603,A1355:A1603)&lt;&gt;C46,"Šifra države nepostojeća",LOOKUP(C46,A1355:A1603,B1355:B1603))))</f>
      </c>
      <c r="E46" s="296"/>
      <c r="F46" s="296"/>
      <c r="G46" s="296"/>
      <c r="H46" s="296"/>
      <c r="I46" s="296"/>
      <c r="J46" s="293" t="s">
        <v>1396</v>
      </c>
      <c r="K46" s="294"/>
      <c r="L46" s="294"/>
      <c r="M46" s="287"/>
      <c r="N46" s="288"/>
      <c r="P46" s="52" t="s">
        <v>2792</v>
      </c>
      <c r="Q46" s="53">
        <f>INT(VALUE(L21))/100</f>
        <v>0</v>
      </c>
    </row>
    <row r="47" spans="1:14" ht="9.75" customHeight="1">
      <c r="A47" s="294"/>
      <c r="B47" s="294"/>
      <c r="C47" s="56"/>
      <c r="D47" s="179"/>
      <c r="E47" s="180"/>
      <c r="F47" s="180"/>
      <c r="G47" s="180"/>
      <c r="H47" s="29"/>
      <c r="I47" s="181"/>
      <c r="J47" s="294"/>
      <c r="K47" s="294"/>
      <c r="L47" s="294"/>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188</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280" t="s">
        <v>69</v>
      </c>
      <c r="J50" s="281"/>
      <c r="K50" s="281"/>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526</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98"/>
      <c r="I52" s="5" t="str">
        <f>IF(OR(Bilanca!Q1=1,RDG!Q1=1,N6="NE"),"DA","NE")</f>
        <v>DA</v>
      </c>
      <c r="J52" s="312" t="s">
        <v>2883</v>
      </c>
      <c r="K52" s="283"/>
      <c r="L52" s="283"/>
      <c r="M52" s="283"/>
      <c r="N52" s="283"/>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2531</v>
      </c>
      <c r="B54" s="277"/>
      <c r="C54" s="36">
        <v>100</v>
      </c>
      <c r="D54" s="55" t="s">
        <v>2532</v>
      </c>
      <c r="F54" s="36">
        <v>0</v>
      </c>
      <c r="G54" s="55" t="s">
        <v>2533</v>
      </c>
      <c r="H54" s="56"/>
      <c r="I54" s="5" t="str">
        <f>IF(OR(Dodatni!Q1=1,AND(N6="NE",C19&lt;&gt;2)),"DA","NE")</f>
        <v>DA</v>
      </c>
      <c r="J54" s="312" t="s">
        <v>2714</v>
      </c>
      <c r="K54" s="283"/>
      <c r="L54" s="283"/>
      <c r="M54" s="283"/>
      <c r="N54" s="283"/>
      <c r="O54" s="182"/>
      <c r="P54" s="50" t="s">
        <v>62</v>
      </c>
      <c r="Q54" s="50">
        <f>C44/10</f>
        <v>0.1</v>
      </c>
    </row>
    <row r="55" spans="1:15" ht="4.5" customHeight="1">
      <c r="A55" s="297" t="s">
        <v>2594</v>
      </c>
      <c r="B55" s="294"/>
      <c r="D55" s="57"/>
      <c r="F55" s="58"/>
      <c r="G55" s="58"/>
      <c r="H55" s="58"/>
      <c r="I55" s="58"/>
      <c r="J55" s="184"/>
      <c r="K55" s="184"/>
      <c r="L55" s="184"/>
      <c r="M55" s="184"/>
      <c r="N55" s="184"/>
      <c r="O55" s="182"/>
    </row>
    <row r="56" spans="1:17" ht="15" customHeight="1">
      <c r="A56" s="294"/>
      <c r="B56" s="294"/>
      <c r="C56" s="40">
        <v>20</v>
      </c>
      <c r="D56" s="285" t="s">
        <v>1511</v>
      </c>
      <c r="E56" s="286"/>
      <c r="F56" s="40">
        <v>20</v>
      </c>
      <c r="G56" s="285" t="s">
        <v>1512</v>
      </c>
      <c r="H56" s="299"/>
      <c r="I56" s="218" t="s">
        <v>460</v>
      </c>
      <c r="J56" s="282" t="s">
        <v>488</v>
      </c>
      <c r="K56" s="283"/>
      <c r="L56" s="283"/>
      <c r="M56" s="283"/>
      <c r="N56" s="283"/>
      <c r="O56" s="182"/>
      <c r="P56" s="50" t="s">
        <v>719</v>
      </c>
      <c r="Q56" s="50">
        <f>C46/20</f>
        <v>0</v>
      </c>
    </row>
    <row r="57" spans="1:15" ht="4.5" customHeight="1">
      <c r="A57" s="294"/>
      <c r="B57" s="294"/>
      <c r="G57" s="59"/>
      <c r="H57" s="59"/>
      <c r="I57" s="58"/>
      <c r="J57" s="184"/>
      <c r="K57" s="184"/>
      <c r="L57" s="184"/>
      <c r="M57" s="184"/>
      <c r="N57" s="184"/>
      <c r="O57" s="182"/>
    </row>
    <row r="58" spans="1:17" ht="15" customHeight="1">
      <c r="A58" s="272" t="s">
        <v>1019</v>
      </c>
      <c r="B58" s="273"/>
      <c r="C58" s="40">
        <v>20</v>
      </c>
      <c r="D58" s="284" t="s">
        <v>1511</v>
      </c>
      <c r="E58" s="284"/>
      <c r="F58" s="40">
        <v>20</v>
      </c>
      <c r="G58" s="284" t="s">
        <v>1512</v>
      </c>
      <c r="H58" s="284"/>
      <c r="I58" s="5" t="str">
        <f>IF(OR(NT_I!Q1&lt;&gt;0,NT_D!Q1&lt;&gt;0),"DA","NE")</f>
        <v>NE</v>
      </c>
      <c r="J58" s="312" t="s">
        <v>1780</v>
      </c>
      <c r="K58" s="283"/>
      <c r="L58" s="283"/>
      <c r="M58" s="283"/>
      <c r="N58" s="283"/>
      <c r="O58" s="182"/>
      <c r="P58" s="50" t="s">
        <v>720</v>
      </c>
      <c r="Q58" s="50">
        <f>IF(ISERROR(INT(M46)),LEN(TRIM(M46)),INT(M46)/100)</f>
        <v>0</v>
      </c>
    </row>
    <row r="59" spans="1:15" ht="4.5" customHeight="1">
      <c r="A59" s="272"/>
      <c r="B59" s="272"/>
      <c r="G59" s="60"/>
      <c r="H59" s="60"/>
      <c r="I59" s="185"/>
      <c r="J59" s="184"/>
      <c r="K59" s="184"/>
      <c r="L59" s="184"/>
      <c r="M59" s="184"/>
      <c r="N59" s="184"/>
      <c r="O59" s="182"/>
    </row>
    <row r="60" spans="1:17" ht="15" customHeight="1">
      <c r="A60" s="297" t="s">
        <v>452</v>
      </c>
      <c r="B60" s="293"/>
      <c r="C60" s="40">
        <v>12</v>
      </c>
      <c r="D60" s="284" t="s">
        <v>1511</v>
      </c>
      <c r="E60" s="284"/>
      <c r="F60" s="40">
        <v>12</v>
      </c>
      <c r="G60" s="284" t="s">
        <v>1512</v>
      </c>
      <c r="H60" s="284"/>
      <c r="I60" s="219" t="str">
        <f>IF(PK!AC1=1,"DA","NE")</f>
        <v>NE</v>
      </c>
      <c r="J60" s="283" t="s">
        <v>2039</v>
      </c>
      <c r="K60" s="283"/>
      <c r="L60" s="283"/>
      <c r="M60" s="283"/>
      <c r="N60" s="283"/>
      <c r="O60" s="182"/>
      <c r="P60" s="50" t="s">
        <v>2811</v>
      </c>
      <c r="Q60" s="50">
        <f>C23/50</f>
        <v>0.02</v>
      </c>
    </row>
    <row r="61" spans="1:15" ht="9.75" customHeight="1" thickBot="1">
      <c r="A61" s="152"/>
      <c r="B61" s="152"/>
      <c r="I61" s="56"/>
      <c r="J61" s="184"/>
      <c r="K61" s="184"/>
      <c r="L61" s="184"/>
      <c r="M61" s="184"/>
      <c r="N61" s="184"/>
      <c r="O61" s="182"/>
    </row>
    <row r="62" spans="1:15" ht="15" customHeight="1">
      <c r="A62" s="326" t="s">
        <v>2658</v>
      </c>
      <c r="B62" s="327"/>
      <c r="C62" s="327"/>
      <c r="D62" s="186"/>
      <c r="I62" s="218" t="s">
        <v>110</v>
      </c>
      <c r="J62" s="282" t="s">
        <v>190</v>
      </c>
      <c r="K62" s="283"/>
      <c r="L62" s="283"/>
      <c r="M62" s="283"/>
      <c r="N62" s="283"/>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13" t="s">
        <v>2535</v>
      </c>
      <c r="D64" s="314"/>
      <c r="E64" s="314"/>
      <c r="F64" s="314"/>
      <c r="G64" s="152"/>
      <c r="H64" s="152"/>
      <c r="I64" s="218" t="s">
        <v>110</v>
      </c>
      <c r="J64" s="282" t="s">
        <v>191</v>
      </c>
      <c r="K64" s="283"/>
      <c r="L64" s="283"/>
      <c r="M64" s="283"/>
      <c r="N64" s="283"/>
      <c r="O64" s="182"/>
    </row>
    <row r="65" spans="1:15" ht="4.5" customHeight="1">
      <c r="A65" s="162"/>
      <c r="B65" s="162"/>
      <c r="G65" s="152"/>
      <c r="H65" s="152"/>
      <c r="I65" s="56"/>
      <c r="J65" s="184"/>
      <c r="K65" s="184"/>
      <c r="L65" s="184"/>
      <c r="M65" s="184"/>
      <c r="N65" s="184"/>
      <c r="O65" s="182"/>
    </row>
    <row r="66" spans="1:15" ht="15" customHeight="1">
      <c r="A66" s="41" t="s">
        <v>1018</v>
      </c>
      <c r="B66" s="315"/>
      <c r="C66" s="316"/>
      <c r="D66" s="316"/>
      <c r="E66" s="316"/>
      <c r="F66" s="316"/>
      <c r="G66" s="317"/>
      <c r="H66" s="187"/>
      <c r="I66" s="218" t="s">
        <v>460</v>
      </c>
      <c r="J66" s="283" t="s">
        <v>454</v>
      </c>
      <c r="K66" s="283"/>
      <c r="L66" s="283"/>
      <c r="M66" s="283"/>
      <c r="N66" s="283"/>
      <c r="O66" s="182"/>
    </row>
    <row r="67" spans="3:15" ht="10.5" customHeight="1">
      <c r="C67" s="325"/>
      <c r="D67" s="323"/>
      <c r="E67" s="323"/>
      <c r="F67" s="323"/>
      <c r="G67" s="323"/>
      <c r="H67" s="324"/>
      <c r="I67" s="56"/>
      <c r="J67" s="311"/>
      <c r="K67" s="311"/>
      <c r="L67" s="311"/>
      <c r="M67" s="311"/>
      <c r="N67" s="311"/>
      <c r="O67" s="182"/>
    </row>
    <row r="68" spans="1:15" ht="15" customHeight="1">
      <c r="A68" s="297" t="s">
        <v>453</v>
      </c>
      <c r="B68" s="337"/>
      <c r="C68" s="302" t="s">
        <v>2986</v>
      </c>
      <c r="D68" s="319"/>
      <c r="E68" s="319"/>
      <c r="F68" s="319"/>
      <c r="G68" s="320"/>
      <c r="H68" s="187"/>
      <c r="I68" s="218" t="s">
        <v>460</v>
      </c>
      <c r="J68" s="283" t="s">
        <v>68</v>
      </c>
      <c r="K68" s="283"/>
      <c r="L68" s="283"/>
      <c r="M68" s="283"/>
      <c r="N68" s="283"/>
      <c r="O68" s="30"/>
    </row>
    <row r="69" spans="3:15" ht="9.75" customHeight="1">
      <c r="C69" s="322" t="s">
        <v>2826</v>
      </c>
      <c r="D69" s="323"/>
      <c r="E69" s="323"/>
      <c r="F69" s="323"/>
      <c r="G69" s="323"/>
      <c r="H69" s="324"/>
      <c r="I69" s="56"/>
      <c r="J69" s="311"/>
      <c r="K69" s="311"/>
      <c r="L69" s="311"/>
      <c r="M69" s="311"/>
      <c r="N69" s="311"/>
      <c r="O69" s="30"/>
    </row>
    <row r="70" spans="1:15" ht="15" customHeight="1">
      <c r="A70" s="297" t="s">
        <v>2534</v>
      </c>
      <c r="B70" s="337"/>
      <c r="C70" s="338" t="s">
        <v>2984</v>
      </c>
      <c r="D70" s="339"/>
      <c r="E70" s="340"/>
      <c r="F70" s="56"/>
      <c r="G70" s="152"/>
      <c r="H70" s="152"/>
      <c r="I70" s="152"/>
      <c r="J70" s="152"/>
      <c r="K70" s="152"/>
      <c r="L70" s="152"/>
      <c r="M70" s="152"/>
      <c r="N70" s="56"/>
      <c r="O70" s="30"/>
    </row>
    <row r="71" spans="1:14" ht="9.75" customHeight="1">
      <c r="A71" s="152"/>
      <c r="B71" s="152"/>
      <c r="C71" s="321" t="s">
        <v>576</v>
      </c>
      <c r="D71" s="314"/>
      <c r="E71" s="314"/>
      <c r="F71" s="314"/>
      <c r="G71" s="314"/>
      <c r="H71" s="314"/>
      <c r="I71" s="152"/>
      <c r="J71" s="152"/>
      <c r="K71" s="152"/>
      <c r="L71" s="152"/>
      <c r="M71" s="152"/>
      <c r="N71" s="56"/>
    </row>
    <row r="72" spans="1:14" ht="15" customHeight="1">
      <c r="A72" s="297" t="s">
        <v>530</v>
      </c>
      <c r="B72" s="337"/>
      <c r="C72" s="318" t="s">
        <v>2987</v>
      </c>
      <c r="D72" s="319"/>
      <c r="E72" s="319"/>
      <c r="F72" s="319"/>
      <c r="G72" s="319"/>
      <c r="H72" s="320"/>
      <c r="I72" s="152"/>
      <c r="J72" s="152"/>
      <c r="K72" s="152"/>
      <c r="N72" s="11" t="str">
        <f>"Verzija Excel datoteke: "&amp;MID(Skriveni!B4,1,1)&amp;"."&amp;MID(Skriveni!B4,2,1)&amp;"."&amp;MID(Skriveni!B4,3,1)&amp;"."</f>
        <v>Verzija Excel datoteke: 4.0.1.</v>
      </c>
    </row>
    <row r="73" spans="1:14" ht="9.75" customHeight="1">
      <c r="A73" s="22"/>
      <c r="B73" s="22"/>
      <c r="C73" s="322" t="s">
        <v>807</v>
      </c>
      <c r="D73" s="322"/>
      <c r="E73" s="322"/>
      <c r="F73" s="322"/>
      <c r="G73" s="322"/>
      <c r="H73" s="322"/>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8" t="s">
        <v>2989</v>
      </c>
      <c r="B75" s="319"/>
      <c r="C75" s="319"/>
      <c r="D75" s="319"/>
      <c r="E75" s="320"/>
      <c r="I75" s="152"/>
      <c r="J75" s="152"/>
      <c r="K75" s="152"/>
      <c r="L75" s="152"/>
      <c r="M75" s="152"/>
      <c r="N75" s="152"/>
    </row>
    <row r="76" spans="1:14" ht="9.75" customHeight="1">
      <c r="A76" s="341" t="s">
        <v>2855</v>
      </c>
      <c r="B76" s="342"/>
      <c r="C76" s="342"/>
      <c r="D76" s="342"/>
      <c r="E76" s="342"/>
      <c r="I76" s="152"/>
      <c r="J76" s="335" t="s">
        <v>2856</v>
      </c>
      <c r="K76" s="336"/>
      <c r="L76" s="336"/>
      <c r="M76" s="336"/>
      <c r="N76" s="336"/>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37:B37"/>
    <mergeCell ref="C35:I35"/>
    <mergeCell ref="C33:L33"/>
    <mergeCell ref="K39:N39"/>
    <mergeCell ref="F12:G12"/>
    <mergeCell ref="I19:M19"/>
    <mergeCell ref="L21:N21"/>
    <mergeCell ref="E21:H21"/>
    <mergeCell ref="A19:B19"/>
    <mergeCell ref="J21:K21"/>
    <mergeCell ref="D58:E58"/>
    <mergeCell ref="A46:B47"/>
    <mergeCell ref="A27:B27"/>
    <mergeCell ref="A35:B35"/>
    <mergeCell ref="C37:I37"/>
    <mergeCell ref="A11:N11"/>
    <mergeCell ref="F14:H14"/>
    <mergeCell ref="A17:B17"/>
    <mergeCell ref="A14:C14"/>
    <mergeCell ref="D17:N18"/>
    <mergeCell ref="D19:H20"/>
    <mergeCell ref="H12:J12"/>
    <mergeCell ref="A15:C15"/>
    <mergeCell ref="J14:N14"/>
    <mergeCell ref="K10:N10"/>
    <mergeCell ref="F4:G4"/>
    <mergeCell ref="A2:N2"/>
    <mergeCell ref="A7:B7"/>
    <mergeCell ref="A4:B4"/>
    <mergeCell ref="H4:N4"/>
    <mergeCell ref="D7:N7"/>
    <mergeCell ref="A10:B10"/>
    <mergeCell ref="A3:N3"/>
    <mergeCell ref="C4:D4"/>
    <mergeCell ref="J76:N76"/>
    <mergeCell ref="A68:B68"/>
    <mergeCell ref="A70:B70"/>
    <mergeCell ref="C70:E70"/>
    <mergeCell ref="A72:B72"/>
    <mergeCell ref="C73:H73"/>
    <mergeCell ref="A76:E76"/>
    <mergeCell ref="J68:N69"/>
    <mergeCell ref="A75:E75"/>
    <mergeCell ref="A39:B39"/>
    <mergeCell ref="F28:I28"/>
    <mergeCell ref="A33:B33"/>
    <mergeCell ref="D31:E31"/>
    <mergeCell ref="F31:L31"/>
    <mergeCell ref="H39:I39"/>
    <mergeCell ref="J35:K35"/>
    <mergeCell ref="J28:N28"/>
    <mergeCell ref="L35:N35"/>
    <mergeCell ref="A29:B29"/>
    <mergeCell ref="B66:G66"/>
    <mergeCell ref="A60:B60"/>
    <mergeCell ref="C72:H72"/>
    <mergeCell ref="C71:H71"/>
    <mergeCell ref="C69:H69"/>
    <mergeCell ref="C67:H67"/>
    <mergeCell ref="D60:E60"/>
    <mergeCell ref="G60:H60"/>
    <mergeCell ref="C68:G68"/>
    <mergeCell ref="A62:C62"/>
    <mergeCell ref="A31:B31"/>
    <mergeCell ref="J64:N64"/>
    <mergeCell ref="J66:N67"/>
    <mergeCell ref="J52:N52"/>
    <mergeCell ref="J54:N54"/>
    <mergeCell ref="J60:N60"/>
    <mergeCell ref="J56:N56"/>
    <mergeCell ref="J58:N58"/>
    <mergeCell ref="C64:F64"/>
    <mergeCell ref="A54:B54"/>
    <mergeCell ref="D23:N24"/>
    <mergeCell ref="C29:L29"/>
    <mergeCell ref="M27:N27"/>
    <mergeCell ref="J27:L27"/>
    <mergeCell ref="F27:G27"/>
    <mergeCell ref="A21:B21"/>
    <mergeCell ref="A23:B24"/>
    <mergeCell ref="H27:I27"/>
    <mergeCell ref="C27:E27"/>
    <mergeCell ref="D44:N44"/>
    <mergeCell ref="J46:L47"/>
    <mergeCell ref="D46:I46"/>
    <mergeCell ref="A52:B52"/>
    <mergeCell ref="A42:B42"/>
    <mergeCell ref="A55:B57"/>
    <mergeCell ref="A44:B44"/>
    <mergeCell ref="D52:H52"/>
    <mergeCell ref="G56:H56"/>
    <mergeCell ref="A58:B59"/>
    <mergeCell ref="D50:H50"/>
    <mergeCell ref="A50:B50"/>
    <mergeCell ref="D39:G39"/>
    <mergeCell ref="I50:K50"/>
    <mergeCell ref="J62:N62"/>
    <mergeCell ref="G58:H58"/>
    <mergeCell ref="D56:E56"/>
    <mergeCell ref="M46:N46"/>
    <mergeCell ref="D42:N4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62" activePane="bottomLeft" state="frozen"/>
      <selection pane="topLeft" activeCell="A1" sqref="A1"/>
      <selection pane="bottomLeft" activeCell="A75" sqref="A75:J7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1" t="s">
        <v>2200</v>
      </c>
      <c r="B2" s="392"/>
      <c r="C2" s="392"/>
      <c r="D2" s="392"/>
      <c r="E2" s="392"/>
      <c r="F2" s="392"/>
      <c r="G2" s="392"/>
      <c r="H2" s="392"/>
      <c r="I2" s="393"/>
      <c r="J2" s="389" t="s">
        <v>81</v>
      </c>
      <c r="Q2" s="70">
        <f>IF(OR(MIN(I9:I135)&lt;0,MAX(I9:I135)&gt;0),1,0)</f>
        <v>1</v>
      </c>
      <c r="R2" s="69" t="s">
        <v>77</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78</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92143159456; PONIKVE USLUGA d.o.o.</v>
      </c>
      <c r="B5" s="398"/>
      <c r="C5" s="398"/>
      <c r="D5" s="398"/>
      <c r="E5" s="398"/>
      <c r="F5" s="398"/>
      <c r="G5" s="398"/>
      <c r="H5" s="398"/>
      <c r="I5" s="398"/>
      <c r="J5" s="399"/>
      <c r="Q5" s="2">
        <f>IF(I98&lt;&gt;0,1,0)</f>
        <v>0</v>
      </c>
      <c r="R5" s="69" t="s">
        <v>79</v>
      </c>
    </row>
    <row r="6" spans="1:18" ht="24.75" customHeight="1" thickBot="1">
      <c r="A6" s="400" t="s">
        <v>2849</v>
      </c>
      <c r="B6" s="401"/>
      <c r="C6" s="401"/>
      <c r="D6" s="401"/>
      <c r="E6" s="401"/>
      <c r="F6" s="401"/>
      <c r="G6" s="98" t="s">
        <v>1309</v>
      </c>
      <c r="H6" s="98" t="s">
        <v>717</v>
      </c>
      <c r="I6" s="98" t="s">
        <v>1083</v>
      </c>
      <c r="J6" s="99" t="s">
        <v>1084</v>
      </c>
      <c r="Q6" s="2">
        <f>IF(J98&lt;&gt;0,1,0)</f>
        <v>0</v>
      </c>
      <c r="R6" s="69" t="s">
        <v>80</v>
      </c>
    </row>
    <row r="7" spans="1:10" ht="13.5" customHeight="1">
      <c r="A7" s="402">
        <v>1</v>
      </c>
      <c r="B7" s="403"/>
      <c r="C7" s="403"/>
      <c r="D7" s="403"/>
      <c r="E7" s="403"/>
      <c r="F7" s="403"/>
      <c r="G7" s="101">
        <v>2</v>
      </c>
      <c r="H7" s="101">
        <v>3</v>
      </c>
      <c r="I7" s="100">
        <v>4</v>
      </c>
      <c r="J7" s="102">
        <v>5</v>
      </c>
    </row>
    <row r="8" spans="1:10" ht="13.5" customHeight="1">
      <c r="A8" s="404" t="s">
        <v>2851</v>
      </c>
      <c r="B8" s="405"/>
      <c r="C8" s="405"/>
      <c r="D8" s="405"/>
      <c r="E8" s="405"/>
      <c r="F8" s="405"/>
      <c r="G8" s="405"/>
      <c r="H8" s="405"/>
      <c r="I8" s="405"/>
      <c r="J8" s="405"/>
    </row>
    <row r="9" spans="1:15" ht="13.5" customHeight="1">
      <c r="A9" s="387" t="s">
        <v>2852</v>
      </c>
      <c r="B9" s="387"/>
      <c r="C9" s="387"/>
      <c r="D9" s="387"/>
      <c r="E9" s="387"/>
      <c r="F9" s="387"/>
      <c r="G9" s="15">
        <v>1</v>
      </c>
      <c r="H9" s="16"/>
      <c r="I9" s="67"/>
      <c r="J9" s="67"/>
      <c r="O9" s="70"/>
    </row>
    <row r="10" spans="1:10" ht="13.5" customHeight="1">
      <c r="A10" s="387" t="s">
        <v>2797</v>
      </c>
      <c r="B10" s="387"/>
      <c r="C10" s="387"/>
      <c r="D10" s="387"/>
      <c r="E10" s="387"/>
      <c r="F10" s="387"/>
      <c r="G10" s="15">
        <v>2</v>
      </c>
      <c r="H10" s="16"/>
      <c r="I10" s="66">
        <f>I11+I18+I28+I39+I44</f>
        <v>3907382</v>
      </c>
      <c r="J10" s="66">
        <f>J11+J18+J28+J39+J44</f>
        <v>3743452</v>
      </c>
    </row>
    <row r="11" spans="1:10" ht="13.5" customHeight="1">
      <c r="A11" s="386" t="s">
        <v>2798</v>
      </c>
      <c r="B11" s="386"/>
      <c r="C11" s="386"/>
      <c r="D11" s="386"/>
      <c r="E11" s="386"/>
      <c r="F11" s="386"/>
      <c r="G11" s="15">
        <v>3</v>
      </c>
      <c r="H11" s="16"/>
      <c r="I11" s="66">
        <f>SUM(I12:I17)</f>
        <v>0</v>
      </c>
      <c r="J11" s="66">
        <f>SUM(J12:J17)</f>
        <v>0</v>
      </c>
    </row>
    <row r="12" spans="1:10" ht="13.5" customHeight="1">
      <c r="A12" s="385" t="s">
        <v>2428</v>
      </c>
      <c r="B12" s="385"/>
      <c r="C12" s="385"/>
      <c r="D12" s="385"/>
      <c r="E12" s="385"/>
      <c r="F12" s="385"/>
      <c r="G12" s="15">
        <v>4</v>
      </c>
      <c r="H12" s="16"/>
      <c r="I12" s="67"/>
      <c r="J12" s="67"/>
    </row>
    <row r="13" spans="1:10" ht="24.75" customHeight="1">
      <c r="A13" s="385" t="s">
        <v>2774</v>
      </c>
      <c r="B13" s="385"/>
      <c r="C13" s="385"/>
      <c r="D13" s="385"/>
      <c r="E13" s="385"/>
      <c r="F13" s="385"/>
      <c r="G13" s="15">
        <v>5</v>
      </c>
      <c r="H13" s="16"/>
      <c r="I13" s="67"/>
      <c r="J13" s="67"/>
    </row>
    <row r="14" spans="1:10" ht="13.5" customHeight="1">
      <c r="A14" s="385" t="s">
        <v>2429</v>
      </c>
      <c r="B14" s="385"/>
      <c r="C14" s="385"/>
      <c r="D14" s="385"/>
      <c r="E14" s="385"/>
      <c r="F14" s="385"/>
      <c r="G14" s="15">
        <v>6</v>
      </c>
      <c r="H14" s="16"/>
      <c r="I14" s="67"/>
      <c r="J14" s="67"/>
    </row>
    <row r="15" spans="1:10" ht="13.5" customHeight="1">
      <c r="A15" s="385" t="s">
        <v>2430</v>
      </c>
      <c r="B15" s="385"/>
      <c r="C15" s="385"/>
      <c r="D15" s="385"/>
      <c r="E15" s="385"/>
      <c r="F15" s="385"/>
      <c r="G15" s="15">
        <v>7</v>
      </c>
      <c r="H15" s="16"/>
      <c r="I15" s="67"/>
      <c r="J15" s="67"/>
    </row>
    <row r="16" spans="1:10" ht="13.5" customHeight="1">
      <c r="A16" s="385" t="s">
        <v>2431</v>
      </c>
      <c r="B16" s="385"/>
      <c r="C16" s="385"/>
      <c r="D16" s="385"/>
      <c r="E16" s="385"/>
      <c r="F16" s="385"/>
      <c r="G16" s="15">
        <v>8</v>
      </c>
      <c r="H16" s="16"/>
      <c r="I16" s="67"/>
      <c r="J16" s="67"/>
    </row>
    <row r="17" spans="1:10" ht="13.5" customHeight="1">
      <c r="A17" s="385" t="s">
        <v>2432</v>
      </c>
      <c r="B17" s="385"/>
      <c r="C17" s="385"/>
      <c r="D17" s="385"/>
      <c r="E17" s="385"/>
      <c r="F17" s="385"/>
      <c r="G17" s="15">
        <v>9</v>
      </c>
      <c r="H17" s="16"/>
      <c r="I17" s="67"/>
      <c r="J17" s="67"/>
    </row>
    <row r="18" spans="1:10" ht="13.5" customHeight="1">
      <c r="A18" s="386" t="s">
        <v>2859</v>
      </c>
      <c r="B18" s="386"/>
      <c r="C18" s="386"/>
      <c r="D18" s="386"/>
      <c r="E18" s="386"/>
      <c r="F18" s="386"/>
      <c r="G18" s="15">
        <v>10</v>
      </c>
      <c r="H18" s="16"/>
      <c r="I18" s="66">
        <f>SUM(I19:I27)</f>
        <v>3907382</v>
      </c>
      <c r="J18" s="66">
        <f>SUM(J19:J27)</f>
        <v>3743452</v>
      </c>
    </row>
    <row r="19" spans="1:10" ht="13.5" customHeight="1">
      <c r="A19" s="385" t="s">
        <v>2627</v>
      </c>
      <c r="B19" s="385"/>
      <c r="C19" s="385"/>
      <c r="D19" s="385"/>
      <c r="E19" s="385"/>
      <c r="F19" s="385"/>
      <c r="G19" s="15">
        <v>11</v>
      </c>
      <c r="H19" s="16"/>
      <c r="I19" s="67">
        <v>19002</v>
      </c>
      <c r="J19" s="67">
        <v>19002</v>
      </c>
    </row>
    <row r="20" spans="1:10" ht="13.5" customHeight="1">
      <c r="A20" s="385" t="s">
        <v>2690</v>
      </c>
      <c r="B20" s="385"/>
      <c r="C20" s="385"/>
      <c r="D20" s="385"/>
      <c r="E20" s="385"/>
      <c r="F20" s="385"/>
      <c r="G20" s="15">
        <v>12</v>
      </c>
      <c r="H20" s="16"/>
      <c r="I20" s="67">
        <v>2945339</v>
      </c>
      <c r="J20" s="67">
        <v>3135401</v>
      </c>
    </row>
    <row r="21" spans="1:10" ht="13.5" customHeight="1">
      <c r="A21" s="385" t="s">
        <v>2628</v>
      </c>
      <c r="B21" s="385"/>
      <c r="C21" s="385"/>
      <c r="D21" s="385"/>
      <c r="E21" s="385"/>
      <c r="F21" s="385"/>
      <c r="G21" s="15">
        <v>13</v>
      </c>
      <c r="H21" s="16"/>
      <c r="I21" s="67">
        <v>559408</v>
      </c>
      <c r="J21" s="67">
        <v>554843</v>
      </c>
    </row>
    <row r="22" spans="1:10" ht="13.5" customHeight="1">
      <c r="A22" s="385" t="s">
        <v>1081</v>
      </c>
      <c r="B22" s="385"/>
      <c r="C22" s="385"/>
      <c r="D22" s="385"/>
      <c r="E22" s="385"/>
      <c r="F22" s="385"/>
      <c r="G22" s="15">
        <v>14</v>
      </c>
      <c r="H22" s="16"/>
      <c r="I22" s="67">
        <v>61292</v>
      </c>
      <c r="J22" s="67">
        <v>34206</v>
      </c>
    </row>
    <row r="23" spans="1:10" ht="13.5" customHeight="1">
      <c r="A23" s="385" t="s">
        <v>1082</v>
      </c>
      <c r="B23" s="385"/>
      <c r="C23" s="385"/>
      <c r="D23" s="385"/>
      <c r="E23" s="385"/>
      <c r="F23" s="385"/>
      <c r="G23" s="15">
        <v>15</v>
      </c>
      <c r="H23" s="16"/>
      <c r="I23" s="67"/>
      <c r="J23" s="67"/>
    </row>
    <row r="24" spans="1:10" ht="13.5" customHeight="1">
      <c r="A24" s="385" t="s">
        <v>1549</v>
      </c>
      <c r="B24" s="385"/>
      <c r="C24" s="385"/>
      <c r="D24" s="385"/>
      <c r="E24" s="385"/>
      <c r="F24" s="385"/>
      <c r="G24" s="15">
        <v>16</v>
      </c>
      <c r="H24" s="16"/>
      <c r="I24" s="67"/>
      <c r="J24" s="67"/>
    </row>
    <row r="25" spans="1:10" ht="13.5" customHeight="1">
      <c r="A25" s="385" t="s">
        <v>1550</v>
      </c>
      <c r="B25" s="385"/>
      <c r="C25" s="385"/>
      <c r="D25" s="385"/>
      <c r="E25" s="385"/>
      <c r="F25" s="385"/>
      <c r="G25" s="15">
        <v>17</v>
      </c>
      <c r="H25" s="16"/>
      <c r="I25" s="67">
        <v>322341</v>
      </c>
      <c r="J25" s="67"/>
    </row>
    <row r="26" spans="1:10" ht="13.5" customHeight="1">
      <c r="A26" s="385" t="s">
        <v>1551</v>
      </c>
      <c r="B26" s="385"/>
      <c r="C26" s="385"/>
      <c r="D26" s="385"/>
      <c r="E26" s="385"/>
      <c r="F26" s="385"/>
      <c r="G26" s="15">
        <v>18</v>
      </c>
      <c r="H26" s="16"/>
      <c r="I26" s="67"/>
      <c r="J26" s="67"/>
    </row>
    <row r="27" spans="1:10" ht="13.5" customHeight="1">
      <c r="A27" s="385" t="s">
        <v>1552</v>
      </c>
      <c r="B27" s="385"/>
      <c r="C27" s="385"/>
      <c r="D27" s="385"/>
      <c r="E27" s="385"/>
      <c r="F27" s="385"/>
      <c r="G27" s="15">
        <v>19</v>
      </c>
      <c r="H27" s="16"/>
      <c r="I27" s="67"/>
      <c r="J27" s="67"/>
    </row>
    <row r="28" spans="1:10" ht="13.5" customHeight="1">
      <c r="A28" s="386" t="s">
        <v>134</v>
      </c>
      <c r="B28" s="386"/>
      <c r="C28" s="386"/>
      <c r="D28" s="386"/>
      <c r="E28" s="386"/>
      <c r="F28" s="386"/>
      <c r="G28" s="15">
        <v>20</v>
      </c>
      <c r="H28" s="16"/>
      <c r="I28" s="66">
        <f>SUM(I29:I38)</f>
        <v>0</v>
      </c>
      <c r="J28" s="66">
        <f>SUM(J29:J38)</f>
        <v>0</v>
      </c>
    </row>
    <row r="29" spans="1:10" ht="13.5" customHeight="1">
      <c r="A29" s="385" t="s">
        <v>2599</v>
      </c>
      <c r="B29" s="385"/>
      <c r="C29" s="385"/>
      <c r="D29" s="385"/>
      <c r="E29" s="385"/>
      <c r="F29" s="385"/>
      <c r="G29" s="15">
        <v>21</v>
      </c>
      <c r="H29" s="16"/>
      <c r="I29" s="67"/>
      <c r="J29" s="67"/>
    </row>
    <row r="30" spans="1:10" ht="13.5" customHeight="1">
      <c r="A30" s="385" t="s">
        <v>2600</v>
      </c>
      <c r="B30" s="385"/>
      <c r="C30" s="385"/>
      <c r="D30" s="385"/>
      <c r="E30" s="385"/>
      <c r="F30" s="385"/>
      <c r="G30" s="15">
        <v>22</v>
      </c>
      <c r="H30" s="16"/>
      <c r="I30" s="67"/>
      <c r="J30" s="67"/>
    </row>
    <row r="31" spans="1:10" ht="13.5" customHeight="1">
      <c r="A31" s="385" t="s">
        <v>2601</v>
      </c>
      <c r="B31" s="385"/>
      <c r="C31" s="385"/>
      <c r="D31" s="385"/>
      <c r="E31" s="385"/>
      <c r="F31" s="385"/>
      <c r="G31" s="15">
        <v>23</v>
      </c>
      <c r="H31" s="16"/>
      <c r="I31" s="67"/>
      <c r="J31" s="67"/>
    </row>
    <row r="32" spans="1:10" ht="24.75" customHeight="1">
      <c r="A32" s="385" t="s">
        <v>2775</v>
      </c>
      <c r="B32" s="385"/>
      <c r="C32" s="385"/>
      <c r="D32" s="385"/>
      <c r="E32" s="385"/>
      <c r="F32" s="385"/>
      <c r="G32" s="15">
        <v>24</v>
      </c>
      <c r="H32" s="16"/>
      <c r="I32" s="67"/>
      <c r="J32" s="67"/>
    </row>
    <row r="33" spans="1:10" ht="24.75" customHeight="1">
      <c r="A33" s="385" t="s">
        <v>2776</v>
      </c>
      <c r="B33" s="385"/>
      <c r="C33" s="385"/>
      <c r="D33" s="385"/>
      <c r="E33" s="385"/>
      <c r="F33" s="385"/>
      <c r="G33" s="15">
        <v>25</v>
      </c>
      <c r="H33" s="16"/>
      <c r="I33" s="67"/>
      <c r="J33" s="67"/>
    </row>
    <row r="34" spans="1:10" ht="24.75" customHeight="1">
      <c r="A34" s="385" t="s">
        <v>2537</v>
      </c>
      <c r="B34" s="385"/>
      <c r="C34" s="385"/>
      <c r="D34" s="385"/>
      <c r="E34" s="385"/>
      <c r="F34" s="385"/>
      <c r="G34" s="15">
        <v>26</v>
      </c>
      <c r="H34" s="16"/>
      <c r="I34" s="67"/>
      <c r="J34" s="67"/>
    </row>
    <row r="35" spans="1:10" ht="13.5" customHeight="1">
      <c r="A35" s="385" t="s">
        <v>2602</v>
      </c>
      <c r="B35" s="385"/>
      <c r="C35" s="385"/>
      <c r="D35" s="385"/>
      <c r="E35" s="385"/>
      <c r="F35" s="385"/>
      <c r="G35" s="15">
        <v>27</v>
      </c>
      <c r="H35" s="16"/>
      <c r="I35" s="67"/>
      <c r="J35" s="67"/>
    </row>
    <row r="36" spans="1:10" ht="13.5" customHeight="1">
      <c r="A36" s="385" t="s">
        <v>2603</v>
      </c>
      <c r="B36" s="385"/>
      <c r="C36" s="385"/>
      <c r="D36" s="385"/>
      <c r="E36" s="385"/>
      <c r="F36" s="385"/>
      <c r="G36" s="15">
        <v>28</v>
      </c>
      <c r="H36" s="16"/>
      <c r="I36" s="67"/>
      <c r="J36" s="67"/>
    </row>
    <row r="37" spans="1:10" ht="13.5" customHeight="1">
      <c r="A37" s="385" t="s">
        <v>2493</v>
      </c>
      <c r="B37" s="385"/>
      <c r="C37" s="385"/>
      <c r="D37" s="385"/>
      <c r="E37" s="385"/>
      <c r="F37" s="385"/>
      <c r="G37" s="15">
        <v>29</v>
      </c>
      <c r="H37" s="16"/>
      <c r="I37" s="67"/>
      <c r="J37" s="67"/>
    </row>
    <row r="38" spans="1:10" ht="13.5" customHeight="1">
      <c r="A38" s="385" t="s">
        <v>2494</v>
      </c>
      <c r="B38" s="385"/>
      <c r="C38" s="385"/>
      <c r="D38" s="385"/>
      <c r="E38" s="385"/>
      <c r="F38" s="385"/>
      <c r="G38" s="15">
        <v>30</v>
      </c>
      <c r="H38" s="16"/>
      <c r="I38" s="67"/>
      <c r="J38" s="67"/>
    </row>
    <row r="39" spans="1:10" ht="13.5" customHeight="1">
      <c r="A39" s="386" t="s">
        <v>135</v>
      </c>
      <c r="B39" s="386"/>
      <c r="C39" s="386"/>
      <c r="D39" s="386"/>
      <c r="E39" s="386"/>
      <c r="F39" s="386"/>
      <c r="G39" s="15">
        <v>31</v>
      </c>
      <c r="H39" s="16"/>
      <c r="I39" s="66">
        <f>SUM(I40:I43)</f>
        <v>0</v>
      </c>
      <c r="J39" s="66">
        <f>SUM(J40:J43)</f>
        <v>0</v>
      </c>
    </row>
    <row r="40" spans="1:10" ht="13.5" customHeight="1">
      <c r="A40" s="385" t="s">
        <v>2495</v>
      </c>
      <c r="B40" s="385"/>
      <c r="C40" s="385"/>
      <c r="D40" s="385"/>
      <c r="E40" s="385"/>
      <c r="F40" s="385"/>
      <c r="G40" s="15">
        <v>32</v>
      </c>
      <c r="H40" s="16"/>
      <c r="I40" s="67"/>
      <c r="J40" s="67"/>
    </row>
    <row r="41" spans="1:10" ht="13.5" customHeight="1">
      <c r="A41" s="385" t="s">
        <v>2040</v>
      </c>
      <c r="B41" s="385"/>
      <c r="C41" s="385"/>
      <c r="D41" s="385"/>
      <c r="E41" s="385"/>
      <c r="F41" s="385"/>
      <c r="G41" s="15">
        <v>33</v>
      </c>
      <c r="H41" s="16"/>
      <c r="I41" s="67"/>
      <c r="J41" s="67"/>
    </row>
    <row r="42" spans="1:10" ht="13.5" customHeight="1">
      <c r="A42" s="385" t="s">
        <v>2427</v>
      </c>
      <c r="B42" s="385"/>
      <c r="C42" s="385"/>
      <c r="D42" s="385"/>
      <c r="E42" s="385"/>
      <c r="F42" s="385"/>
      <c r="G42" s="15">
        <v>34</v>
      </c>
      <c r="H42" s="16"/>
      <c r="I42" s="67"/>
      <c r="J42" s="67"/>
    </row>
    <row r="43" spans="1:10" ht="13.5" customHeight="1">
      <c r="A43" s="385" t="s">
        <v>2041</v>
      </c>
      <c r="B43" s="385"/>
      <c r="C43" s="385"/>
      <c r="D43" s="385"/>
      <c r="E43" s="385"/>
      <c r="F43" s="385"/>
      <c r="G43" s="15">
        <v>35</v>
      </c>
      <c r="H43" s="16"/>
      <c r="I43" s="67"/>
      <c r="J43" s="67"/>
    </row>
    <row r="44" spans="1:10" ht="13.5" customHeight="1">
      <c r="A44" s="386" t="s">
        <v>378</v>
      </c>
      <c r="B44" s="386"/>
      <c r="C44" s="386"/>
      <c r="D44" s="386"/>
      <c r="E44" s="386"/>
      <c r="F44" s="386"/>
      <c r="G44" s="15">
        <v>36</v>
      </c>
      <c r="H44" s="16"/>
      <c r="I44" s="67"/>
      <c r="J44" s="67"/>
    </row>
    <row r="45" spans="1:10" ht="13.5" customHeight="1">
      <c r="A45" s="387" t="s">
        <v>136</v>
      </c>
      <c r="B45" s="387"/>
      <c r="C45" s="387"/>
      <c r="D45" s="387"/>
      <c r="E45" s="387"/>
      <c r="F45" s="387"/>
      <c r="G45" s="15">
        <v>37</v>
      </c>
      <c r="H45" s="16"/>
      <c r="I45" s="66">
        <f>I46+I54+I61+I71</f>
        <v>7948720</v>
      </c>
      <c r="J45" s="66">
        <f>J46+J54+J61+J71</f>
        <v>7863720</v>
      </c>
    </row>
    <row r="46" spans="1:10" ht="13.5" customHeight="1">
      <c r="A46" s="386" t="s">
        <v>137</v>
      </c>
      <c r="B46" s="386"/>
      <c r="C46" s="386"/>
      <c r="D46" s="386"/>
      <c r="E46" s="386"/>
      <c r="F46" s="386"/>
      <c r="G46" s="15">
        <v>38</v>
      </c>
      <c r="H46" s="16"/>
      <c r="I46" s="66">
        <f>SUM(I47:I53)</f>
        <v>1865</v>
      </c>
      <c r="J46" s="66">
        <f>SUM(J47:J53)</f>
        <v>185</v>
      </c>
    </row>
    <row r="47" spans="1:10" ht="13.5" customHeight="1">
      <c r="A47" s="385" t="s">
        <v>2433</v>
      </c>
      <c r="B47" s="385"/>
      <c r="C47" s="385"/>
      <c r="D47" s="385"/>
      <c r="E47" s="385"/>
      <c r="F47" s="385"/>
      <c r="G47" s="15">
        <v>39</v>
      </c>
      <c r="H47" s="16"/>
      <c r="I47" s="67"/>
      <c r="J47" s="67"/>
    </row>
    <row r="48" spans="1:10" ht="13.5" customHeight="1">
      <c r="A48" s="385" t="s">
        <v>2434</v>
      </c>
      <c r="B48" s="385"/>
      <c r="C48" s="385"/>
      <c r="D48" s="385"/>
      <c r="E48" s="385"/>
      <c r="F48" s="385"/>
      <c r="G48" s="15">
        <v>40</v>
      </c>
      <c r="H48" s="16"/>
      <c r="I48" s="67"/>
      <c r="J48" s="67"/>
    </row>
    <row r="49" spans="1:10" ht="13.5" customHeight="1">
      <c r="A49" s="385" t="s">
        <v>2435</v>
      </c>
      <c r="B49" s="385"/>
      <c r="C49" s="385"/>
      <c r="D49" s="385"/>
      <c r="E49" s="385"/>
      <c r="F49" s="385"/>
      <c r="G49" s="15">
        <v>41</v>
      </c>
      <c r="H49" s="16"/>
      <c r="I49" s="67"/>
      <c r="J49" s="67"/>
    </row>
    <row r="50" spans="1:10" ht="13.5" customHeight="1">
      <c r="A50" s="385" t="s">
        <v>2436</v>
      </c>
      <c r="B50" s="385"/>
      <c r="C50" s="385"/>
      <c r="D50" s="385"/>
      <c r="E50" s="385"/>
      <c r="F50" s="385"/>
      <c r="G50" s="15">
        <v>42</v>
      </c>
      <c r="H50" s="16"/>
      <c r="I50" s="67"/>
      <c r="J50" s="67"/>
    </row>
    <row r="51" spans="1:10" ht="13.5" customHeight="1">
      <c r="A51" s="385" t="s">
        <v>2437</v>
      </c>
      <c r="B51" s="385"/>
      <c r="C51" s="385"/>
      <c r="D51" s="385"/>
      <c r="E51" s="385"/>
      <c r="F51" s="385"/>
      <c r="G51" s="15">
        <v>43</v>
      </c>
      <c r="H51" s="16"/>
      <c r="I51" s="67">
        <v>1865</v>
      </c>
      <c r="J51" s="67">
        <v>185</v>
      </c>
    </row>
    <row r="52" spans="1:10" ht="13.5" customHeight="1">
      <c r="A52" s="385" t="s">
        <v>2438</v>
      </c>
      <c r="B52" s="385"/>
      <c r="C52" s="385"/>
      <c r="D52" s="385"/>
      <c r="E52" s="385"/>
      <c r="F52" s="385"/>
      <c r="G52" s="15">
        <v>44</v>
      </c>
      <c r="H52" s="16"/>
      <c r="I52" s="67"/>
      <c r="J52" s="67"/>
    </row>
    <row r="53" spans="1:10" ht="13.5" customHeight="1">
      <c r="A53" s="385" t="s">
        <v>2547</v>
      </c>
      <c r="B53" s="385"/>
      <c r="C53" s="385"/>
      <c r="D53" s="385"/>
      <c r="E53" s="385"/>
      <c r="F53" s="385"/>
      <c r="G53" s="15">
        <v>45</v>
      </c>
      <c r="H53" s="16"/>
      <c r="I53" s="67"/>
      <c r="J53" s="67"/>
    </row>
    <row r="54" spans="1:10" ht="13.5" customHeight="1">
      <c r="A54" s="386" t="s">
        <v>138</v>
      </c>
      <c r="B54" s="386"/>
      <c r="C54" s="386"/>
      <c r="D54" s="386"/>
      <c r="E54" s="386"/>
      <c r="F54" s="386"/>
      <c r="G54" s="15">
        <v>46</v>
      </c>
      <c r="H54" s="16"/>
      <c r="I54" s="66">
        <f>SUM(I55:I60)</f>
        <v>4933410</v>
      </c>
      <c r="J54" s="66">
        <f>SUM(J55:J60)</f>
        <v>4490352</v>
      </c>
    </row>
    <row r="55" spans="1:10" ht="13.5" customHeight="1">
      <c r="A55" s="385" t="s">
        <v>2548</v>
      </c>
      <c r="B55" s="385"/>
      <c r="C55" s="385"/>
      <c r="D55" s="385"/>
      <c r="E55" s="385"/>
      <c r="F55" s="385"/>
      <c r="G55" s="15">
        <v>47</v>
      </c>
      <c r="H55" s="16"/>
      <c r="I55" s="67"/>
      <c r="J55" s="67"/>
    </row>
    <row r="56" spans="1:10" ht="13.5" customHeight="1">
      <c r="A56" s="385" t="s">
        <v>2549</v>
      </c>
      <c r="B56" s="385"/>
      <c r="C56" s="385"/>
      <c r="D56" s="385"/>
      <c r="E56" s="385"/>
      <c r="F56" s="385"/>
      <c r="G56" s="15">
        <v>48</v>
      </c>
      <c r="H56" s="16"/>
      <c r="I56" s="67"/>
      <c r="J56" s="67"/>
    </row>
    <row r="57" spans="1:10" ht="13.5" customHeight="1">
      <c r="A57" s="385" t="s">
        <v>126</v>
      </c>
      <c r="B57" s="385"/>
      <c r="C57" s="385"/>
      <c r="D57" s="385"/>
      <c r="E57" s="385"/>
      <c r="F57" s="385"/>
      <c r="G57" s="15">
        <v>49</v>
      </c>
      <c r="H57" s="16"/>
      <c r="I57" s="67">
        <v>4927529</v>
      </c>
      <c r="J57" s="67">
        <v>4489560</v>
      </c>
    </row>
    <row r="58" spans="1:10" ht="13.5" customHeight="1">
      <c r="A58" s="385" t="s">
        <v>2550</v>
      </c>
      <c r="B58" s="385"/>
      <c r="C58" s="385"/>
      <c r="D58" s="385"/>
      <c r="E58" s="385"/>
      <c r="F58" s="385"/>
      <c r="G58" s="15">
        <v>50</v>
      </c>
      <c r="H58" s="16"/>
      <c r="I58" s="67"/>
      <c r="J58" s="67"/>
    </row>
    <row r="59" spans="1:10" ht="13.5" customHeight="1">
      <c r="A59" s="385" t="s">
        <v>2551</v>
      </c>
      <c r="B59" s="385"/>
      <c r="C59" s="385"/>
      <c r="D59" s="385"/>
      <c r="E59" s="385"/>
      <c r="F59" s="385"/>
      <c r="G59" s="15">
        <v>51</v>
      </c>
      <c r="H59" s="16"/>
      <c r="I59" s="67">
        <v>5881</v>
      </c>
      <c r="J59" s="67">
        <v>792</v>
      </c>
    </row>
    <row r="60" spans="1:10" ht="13.5" customHeight="1">
      <c r="A60" s="385" t="s">
        <v>128</v>
      </c>
      <c r="B60" s="385"/>
      <c r="C60" s="385"/>
      <c r="D60" s="385"/>
      <c r="E60" s="385"/>
      <c r="F60" s="385"/>
      <c r="G60" s="15">
        <v>52</v>
      </c>
      <c r="H60" s="16"/>
      <c r="I60" s="67"/>
      <c r="J60" s="67"/>
    </row>
    <row r="61" spans="1:10" ht="13.5" customHeight="1">
      <c r="A61" s="386" t="s">
        <v>139</v>
      </c>
      <c r="B61" s="386"/>
      <c r="C61" s="386"/>
      <c r="D61" s="386"/>
      <c r="E61" s="386"/>
      <c r="F61" s="386"/>
      <c r="G61" s="15">
        <v>53</v>
      </c>
      <c r="H61" s="16"/>
      <c r="I61" s="66">
        <f>SUM(I62:I70)</f>
        <v>0</v>
      </c>
      <c r="J61" s="66">
        <f>SUM(J62:J70)</f>
        <v>0</v>
      </c>
    </row>
    <row r="62" spans="1:10" ht="13.5" customHeight="1">
      <c r="A62" s="385" t="s">
        <v>2599</v>
      </c>
      <c r="B62" s="385"/>
      <c r="C62" s="385"/>
      <c r="D62" s="385"/>
      <c r="E62" s="385"/>
      <c r="F62" s="385"/>
      <c r="G62" s="15">
        <v>54</v>
      </c>
      <c r="H62" s="16"/>
      <c r="I62" s="67"/>
      <c r="J62" s="67"/>
    </row>
    <row r="63" spans="1:10" ht="13.5" customHeight="1">
      <c r="A63" s="385" t="s">
        <v>2600</v>
      </c>
      <c r="B63" s="385"/>
      <c r="C63" s="385"/>
      <c r="D63" s="385"/>
      <c r="E63" s="385"/>
      <c r="F63" s="385"/>
      <c r="G63" s="15">
        <v>55</v>
      </c>
      <c r="H63" s="16"/>
      <c r="I63" s="67"/>
      <c r="J63" s="67"/>
    </row>
    <row r="64" spans="1:10" ht="13.5" customHeight="1">
      <c r="A64" s="385" t="s">
        <v>2601</v>
      </c>
      <c r="B64" s="385"/>
      <c r="C64" s="385"/>
      <c r="D64" s="385"/>
      <c r="E64" s="385"/>
      <c r="F64" s="385"/>
      <c r="G64" s="15">
        <v>56</v>
      </c>
      <c r="H64" s="16"/>
      <c r="I64" s="67"/>
      <c r="J64" s="67"/>
    </row>
    <row r="65" spans="1:10" ht="24.75" customHeight="1">
      <c r="A65" s="385" t="s">
        <v>2538</v>
      </c>
      <c r="B65" s="385"/>
      <c r="C65" s="385"/>
      <c r="D65" s="385"/>
      <c r="E65" s="385"/>
      <c r="F65" s="385"/>
      <c r="G65" s="15">
        <v>57</v>
      </c>
      <c r="H65" s="16"/>
      <c r="I65" s="67"/>
      <c r="J65" s="67"/>
    </row>
    <row r="66" spans="1:10" ht="24.75" customHeight="1">
      <c r="A66" s="385" t="s">
        <v>2776</v>
      </c>
      <c r="B66" s="385"/>
      <c r="C66" s="385"/>
      <c r="D66" s="385"/>
      <c r="E66" s="385"/>
      <c r="F66" s="385"/>
      <c r="G66" s="15">
        <v>58</v>
      </c>
      <c r="H66" s="16"/>
      <c r="I66" s="67"/>
      <c r="J66" s="67"/>
    </row>
    <row r="67" spans="1:10" ht="24.75" customHeight="1">
      <c r="A67" s="385" t="s">
        <v>2537</v>
      </c>
      <c r="B67" s="385"/>
      <c r="C67" s="385"/>
      <c r="D67" s="385"/>
      <c r="E67" s="385"/>
      <c r="F67" s="385"/>
      <c r="G67" s="15">
        <v>59</v>
      </c>
      <c r="H67" s="16"/>
      <c r="I67" s="67"/>
      <c r="J67" s="67"/>
    </row>
    <row r="68" spans="1:10" ht="13.5" customHeight="1">
      <c r="A68" s="385" t="s">
        <v>2602</v>
      </c>
      <c r="B68" s="385"/>
      <c r="C68" s="385"/>
      <c r="D68" s="385"/>
      <c r="E68" s="385"/>
      <c r="F68" s="385"/>
      <c r="G68" s="15">
        <v>60</v>
      </c>
      <c r="H68" s="16"/>
      <c r="I68" s="67"/>
      <c r="J68" s="67"/>
    </row>
    <row r="69" spans="1:10" ht="13.5" customHeight="1">
      <c r="A69" s="385" t="s">
        <v>2603</v>
      </c>
      <c r="B69" s="385"/>
      <c r="C69" s="385"/>
      <c r="D69" s="385"/>
      <c r="E69" s="385"/>
      <c r="F69" s="385"/>
      <c r="G69" s="15">
        <v>61</v>
      </c>
      <c r="H69" s="16"/>
      <c r="I69" s="67"/>
      <c r="J69" s="67"/>
    </row>
    <row r="70" spans="1:10" ht="13.5" customHeight="1">
      <c r="A70" s="385" t="s">
        <v>2042</v>
      </c>
      <c r="B70" s="385"/>
      <c r="C70" s="385"/>
      <c r="D70" s="385"/>
      <c r="E70" s="385"/>
      <c r="F70" s="385"/>
      <c r="G70" s="15">
        <v>62</v>
      </c>
      <c r="H70" s="16"/>
      <c r="I70" s="67"/>
      <c r="J70" s="67"/>
    </row>
    <row r="71" spans="1:10" ht="13.5" customHeight="1">
      <c r="A71" s="386" t="s">
        <v>1634</v>
      </c>
      <c r="B71" s="386"/>
      <c r="C71" s="386"/>
      <c r="D71" s="386"/>
      <c r="E71" s="386"/>
      <c r="F71" s="386"/>
      <c r="G71" s="15">
        <v>63</v>
      </c>
      <c r="H71" s="16"/>
      <c r="I71" s="67">
        <v>3013445</v>
      </c>
      <c r="J71" s="67">
        <v>3373183</v>
      </c>
    </row>
    <row r="72" spans="1:10" ht="24.75" customHeight="1">
      <c r="A72" s="387" t="s">
        <v>1267</v>
      </c>
      <c r="B72" s="387"/>
      <c r="C72" s="387"/>
      <c r="D72" s="387"/>
      <c r="E72" s="387"/>
      <c r="F72" s="387"/>
      <c r="G72" s="15">
        <v>64</v>
      </c>
      <c r="H72" s="16"/>
      <c r="I72" s="67"/>
      <c r="J72" s="67">
        <v>767</v>
      </c>
    </row>
    <row r="73" spans="1:10" ht="13.5" customHeight="1">
      <c r="A73" s="387" t="s">
        <v>140</v>
      </c>
      <c r="B73" s="387"/>
      <c r="C73" s="387"/>
      <c r="D73" s="387"/>
      <c r="E73" s="387"/>
      <c r="F73" s="387"/>
      <c r="G73" s="15">
        <v>65</v>
      </c>
      <c r="H73" s="16"/>
      <c r="I73" s="66">
        <f>I9+I10+I45+I72</f>
        <v>11856102</v>
      </c>
      <c r="J73" s="66">
        <f>J9+J10+J45+J72</f>
        <v>11607939</v>
      </c>
    </row>
    <row r="74" spans="1:10" ht="13.5" customHeight="1">
      <c r="A74" s="388" t="s">
        <v>2898</v>
      </c>
      <c r="B74" s="388"/>
      <c r="C74" s="388"/>
      <c r="D74" s="388"/>
      <c r="E74" s="388"/>
      <c r="F74" s="388"/>
      <c r="G74" s="17">
        <v>66</v>
      </c>
      <c r="H74" s="18"/>
      <c r="I74" s="68">
        <v>110000</v>
      </c>
      <c r="J74" s="68">
        <v>110000</v>
      </c>
    </row>
    <row r="75" spans="1:10" ht="13.5" customHeight="1">
      <c r="A75" s="404" t="s">
        <v>386</v>
      </c>
      <c r="B75" s="406"/>
      <c r="C75" s="406"/>
      <c r="D75" s="406"/>
      <c r="E75" s="406"/>
      <c r="F75" s="406"/>
      <c r="G75" s="406"/>
      <c r="H75" s="406"/>
      <c r="I75" s="406"/>
      <c r="J75" s="406"/>
    </row>
    <row r="76" spans="1:12" ht="13.5" customHeight="1">
      <c r="A76" s="387" t="s">
        <v>2813</v>
      </c>
      <c r="B76" s="387"/>
      <c r="C76" s="387"/>
      <c r="D76" s="387"/>
      <c r="E76" s="387"/>
      <c r="F76" s="387"/>
      <c r="G76" s="15">
        <v>67</v>
      </c>
      <c r="H76" s="16"/>
      <c r="I76" s="66">
        <f>I77+I78+I79+I85+I86+I92+I95+I98</f>
        <v>4607819</v>
      </c>
      <c r="J76" s="66">
        <f>J77+J78+J79+J85+J86+J92+J95+J98</f>
        <v>4616088</v>
      </c>
      <c r="L76" s="2" t="s">
        <v>82</v>
      </c>
    </row>
    <row r="77" spans="1:10" ht="13.5" customHeight="1">
      <c r="A77" s="386" t="s">
        <v>2398</v>
      </c>
      <c r="B77" s="386"/>
      <c r="C77" s="386"/>
      <c r="D77" s="386"/>
      <c r="E77" s="386"/>
      <c r="F77" s="386"/>
      <c r="G77" s="15">
        <v>68</v>
      </c>
      <c r="H77" s="16"/>
      <c r="I77" s="67">
        <v>4490500</v>
      </c>
      <c r="J77" s="67">
        <v>4490500</v>
      </c>
    </row>
    <row r="78" spans="1:12" ht="13.5" customHeight="1">
      <c r="A78" s="386" t="s">
        <v>2399</v>
      </c>
      <c r="B78" s="386"/>
      <c r="C78" s="386"/>
      <c r="D78" s="386"/>
      <c r="E78" s="386"/>
      <c r="F78" s="386"/>
      <c r="G78" s="15">
        <v>69</v>
      </c>
      <c r="H78" s="16"/>
      <c r="I78" s="67"/>
      <c r="J78" s="67"/>
      <c r="L78" s="2" t="s">
        <v>82</v>
      </c>
    </row>
    <row r="79" spans="1:12" ht="13.5" customHeight="1">
      <c r="A79" s="386" t="s">
        <v>1349</v>
      </c>
      <c r="B79" s="386"/>
      <c r="C79" s="386"/>
      <c r="D79" s="386"/>
      <c r="E79" s="386"/>
      <c r="F79" s="386"/>
      <c r="G79" s="15">
        <v>70</v>
      </c>
      <c r="H79" s="16"/>
      <c r="I79" s="66">
        <f>I80+I81-I82+I83+I84</f>
        <v>0</v>
      </c>
      <c r="J79" s="66">
        <f>J80+J81-J82+J83+J84</f>
        <v>0</v>
      </c>
      <c r="L79" s="2" t="s">
        <v>82</v>
      </c>
    </row>
    <row r="80" spans="1:12" ht="13.5" customHeight="1">
      <c r="A80" s="385" t="s">
        <v>131</v>
      </c>
      <c r="B80" s="385"/>
      <c r="C80" s="385"/>
      <c r="D80" s="385"/>
      <c r="E80" s="385"/>
      <c r="F80" s="385"/>
      <c r="G80" s="15">
        <v>71</v>
      </c>
      <c r="H80" s="16"/>
      <c r="I80" s="67"/>
      <c r="J80" s="67"/>
      <c r="L80" s="2" t="s">
        <v>82</v>
      </c>
    </row>
    <row r="81" spans="1:12" ht="13.5" customHeight="1">
      <c r="A81" s="385" t="s">
        <v>132</v>
      </c>
      <c r="B81" s="385"/>
      <c r="C81" s="385"/>
      <c r="D81" s="385"/>
      <c r="E81" s="385"/>
      <c r="F81" s="385"/>
      <c r="G81" s="15">
        <v>72</v>
      </c>
      <c r="H81" s="16"/>
      <c r="I81" s="67"/>
      <c r="J81" s="67"/>
      <c r="L81" s="2" t="s">
        <v>82</v>
      </c>
    </row>
    <row r="82" spans="1:12" ht="13.5" customHeight="1">
      <c r="A82" s="385" t="s">
        <v>1683</v>
      </c>
      <c r="B82" s="385"/>
      <c r="C82" s="385"/>
      <c r="D82" s="385"/>
      <c r="E82" s="385"/>
      <c r="F82" s="385"/>
      <c r="G82" s="15">
        <v>73</v>
      </c>
      <c r="H82" s="16"/>
      <c r="I82" s="67"/>
      <c r="J82" s="67"/>
      <c r="L82" s="2" t="s">
        <v>82</v>
      </c>
    </row>
    <row r="83" spans="1:12" ht="13.5" customHeight="1">
      <c r="A83" s="385" t="s">
        <v>1684</v>
      </c>
      <c r="B83" s="385"/>
      <c r="C83" s="385"/>
      <c r="D83" s="385"/>
      <c r="E83" s="385"/>
      <c r="F83" s="385"/>
      <c r="G83" s="15">
        <v>74</v>
      </c>
      <c r="H83" s="16"/>
      <c r="I83" s="67"/>
      <c r="J83" s="67"/>
      <c r="L83" s="2" t="s">
        <v>82</v>
      </c>
    </row>
    <row r="84" spans="1:12" ht="13.5" customHeight="1">
      <c r="A84" s="385" t="s">
        <v>1685</v>
      </c>
      <c r="B84" s="385"/>
      <c r="C84" s="385"/>
      <c r="D84" s="385"/>
      <c r="E84" s="385"/>
      <c r="F84" s="385"/>
      <c r="G84" s="15">
        <v>75</v>
      </c>
      <c r="H84" s="16"/>
      <c r="I84" s="67"/>
      <c r="J84" s="67"/>
      <c r="L84" s="2" t="s">
        <v>82</v>
      </c>
    </row>
    <row r="85" spans="1:12" ht="13.5" customHeight="1">
      <c r="A85" s="386" t="s">
        <v>847</v>
      </c>
      <c r="B85" s="386"/>
      <c r="C85" s="386"/>
      <c r="D85" s="386"/>
      <c r="E85" s="386"/>
      <c r="F85" s="386"/>
      <c r="G85" s="15">
        <v>76</v>
      </c>
      <c r="H85" s="16"/>
      <c r="I85" s="67"/>
      <c r="J85" s="67"/>
      <c r="L85" s="2" t="s">
        <v>82</v>
      </c>
    </row>
    <row r="86" spans="1:12" ht="13.5" customHeight="1">
      <c r="A86" s="386" t="s">
        <v>926</v>
      </c>
      <c r="B86" s="386"/>
      <c r="C86" s="386"/>
      <c r="D86" s="386"/>
      <c r="E86" s="386"/>
      <c r="F86" s="386"/>
      <c r="G86" s="15">
        <v>77</v>
      </c>
      <c r="H86" s="16"/>
      <c r="I86" s="66">
        <f>SUM(I87:I91)</f>
        <v>0</v>
      </c>
      <c r="J86" s="66">
        <f>SUM(J87:J91)</f>
        <v>0</v>
      </c>
      <c r="L86" s="2" t="s">
        <v>82</v>
      </c>
    </row>
    <row r="87" spans="1:12" ht="24.75" customHeight="1">
      <c r="A87" s="385" t="s">
        <v>2225</v>
      </c>
      <c r="B87" s="385"/>
      <c r="C87" s="385"/>
      <c r="D87" s="385"/>
      <c r="E87" s="385"/>
      <c r="F87" s="385"/>
      <c r="G87" s="15">
        <v>78</v>
      </c>
      <c r="H87" s="16"/>
      <c r="I87" s="67"/>
      <c r="J87" s="67"/>
      <c r="L87" s="2" t="s">
        <v>82</v>
      </c>
    </row>
    <row r="88" spans="1:12" ht="13.5" customHeight="1">
      <c r="A88" s="385" t="s">
        <v>1686</v>
      </c>
      <c r="B88" s="385"/>
      <c r="C88" s="385"/>
      <c r="D88" s="385"/>
      <c r="E88" s="385"/>
      <c r="F88" s="385"/>
      <c r="G88" s="15">
        <v>79</v>
      </c>
      <c r="H88" s="16"/>
      <c r="I88" s="67"/>
      <c r="J88" s="67"/>
      <c r="L88" s="2" t="s">
        <v>82</v>
      </c>
    </row>
    <row r="89" spans="1:12" ht="13.5" customHeight="1">
      <c r="A89" s="385" t="s">
        <v>1687</v>
      </c>
      <c r="B89" s="385"/>
      <c r="C89" s="385"/>
      <c r="D89" s="385"/>
      <c r="E89" s="385"/>
      <c r="F89" s="385"/>
      <c r="G89" s="15">
        <v>80</v>
      </c>
      <c r="H89" s="16"/>
      <c r="I89" s="67"/>
      <c r="J89" s="67"/>
      <c r="L89" s="2" t="s">
        <v>82</v>
      </c>
    </row>
    <row r="90" spans="1:12" ht="13.5" customHeight="1">
      <c r="A90" s="385" t="s">
        <v>927</v>
      </c>
      <c r="B90" s="385"/>
      <c r="C90" s="385"/>
      <c r="D90" s="385"/>
      <c r="E90" s="385"/>
      <c r="F90" s="385"/>
      <c r="G90" s="15">
        <v>81</v>
      </c>
      <c r="H90" s="16"/>
      <c r="I90" s="67"/>
      <c r="J90" s="67"/>
      <c r="L90" s="2" t="s">
        <v>82</v>
      </c>
    </row>
    <row r="91" spans="1:12" ht="25.5" customHeight="1">
      <c r="A91" s="385" t="s">
        <v>2224</v>
      </c>
      <c r="B91" s="385"/>
      <c r="C91" s="385"/>
      <c r="D91" s="385"/>
      <c r="E91" s="385"/>
      <c r="F91" s="385"/>
      <c r="G91" s="15">
        <v>82</v>
      </c>
      <c r="H91" s="16"/>
      <c r="I91" s="67"/>
      <c r="J91" s="67"/>
      <c r="L91" s="2" t="s">
        <v>82</v>
      </c>
    </row>
    <row r="92" spans="1:12" ht="13.5" customHeight="1">
      <c r="A92" s="386" t="s">
        <v>928</v>
      </c>
      <c r="B92" s="386"/>
      <c r="C92" s="386"/>
      <c r="D92" s="386"/>
      <c r="E92" s="386"/>
      <c r="F92" s="386"/>
      <c r="G92" s="15">
        <v>83</v>
      </c>
      <c r="H92" s="16"/>
      <c r="I92" s="66">
        <f>I93-I94</f>
        <v>102276</v>
      </c>
      <c r="J92" s="66">
        <f>J93-J94</f>
        <v>117319</v>
      </c>
      <c r="L92" s="2" t="s">
        <v>82</v>
      </c>
    </row>
    <row r="93" spans="1:10" ht="13.5" customHeight="1">
      <c r="A93" s="385" t="s">
        <v>1688</v>
      </c>
      <c r="B93" s="385"/>
      <c r="C93" s="385"/>
      <c r="D93" s="385"/>
      <c r="E93" s="385"/>
      <c r="F93" s="385"/>
      <c r="G93" s="15">
        <v>84</v>
      </c>
      <c r="H93" s="16"/>
      <c r="I93" s="67">
        <v>102276</v>
      </c>
      <c r="J93" s="67">
        <v>117319</v>
      </c>
    </row>
    <row r="94" spans="1:10" ht="13.5" customHeight="1">
      <c r="A94" s="385" t="s">
        <v>1689</v>
      </c>
      <c r="B94" s="385"/>
      <c r="C94" s="385"/>
      <c r="D94" s="385"/>
      <c r="E94" s="385"/>
      <c r="F94" s="385"/>
      <c r="G94" s="15">
        <v>85</v>
      </c>
      <c r="H94" s="16"/>
      <c r="I94" s="67"/>
      <c r="J94" s="67"/>
    </row>
    <row r="95" spans="1:12" ht="13.5" customHeight="1">
      <c r="A95" s="386" t="s">
        <v>929</v>
      </c>
      <c r="B95" s="386"/>
      <c r="C95" s="386"/>
      <c r="D95" s="386"/>
      <c r="E95" s="386"/>
      <c r="F95" s="386"/>
      <c r="G95" s="15">
        <v>86</v>
      </c>
      <c r="H95" s="16"/>
      <c r="I95" s="66">
        <f>I96-I97</f>
        <v>15043</v>
      </c>
      <c r="J95" s="66">
        <f>J96-J97</f>
        <v>8269</v>
      </c>
      <c r="L95" s="2" t="s">
        <v>82</v>
      </c>
    </row>
    <row r="96" spans="1:10" ht="13.5" customHeight="1">
      <c r="A96" s="385" t="s">
        <v>130</v>
      </c>
      <c r="B96" s="385"/>
      <c r="C96" s="385"/>
      <c r="D96" s="385"/>
      <c r="E96" s="385"/>
      <c r="F96" s="385"/>
      <c r="G96" s="15">
        <v>87</v>
      </c>
      <c r="H96" s="16"/>
      <c r="I96" s="67">
        <v>15043</v>
      </c>
      <c r="J96" s="67">
        <v>8269</v>
      </c>
    </row>
    <row r="97" spans="1:10" ht="13.5" customHeight="1">
      <c r="A97" s="385" t="s">
        <v>1690</v>
      </c>
      <c r="B97" s="385"/>
      <c r="C97" s="385"/>
      <c r="D97" s="385"/>
      <c r="E97" s="385"/>
      <c r="F97" s="385"/>
      <c r="G97" s="15">
        <v>88</v>
      </c>
      <c r="H97" s="16"/>
      <c r="I97" s="67"/>
      <c r="J97" s="67"/>
    </row>
    <row r="98" spans="1:12" ht="13.5" customHeight="1">
      <c r="A98" s="386" t="s">
        <v>2642</v>
      </c>
      <c r="B98" s="386"/>
      <c r="C98" s="386"/>
      <c r="D98" s="386"/>
      <c r="E98" s="386"/>
      <c r="F98" s="386"/>
      <c r="G98" s="15">
        <v>89</v>
      </c>
      <c r="H98" s="16"/>
      <c r="I98" s="67"/>
      <c r="J98" s="67"/>
      <c r="L98" s="2" t="s">
        <v>82</v>
      </c>
    </row>
    <row r="99" spans="1:10" ht="13.5" customHeight="1">
      <c r="A99" s="387" t="s">
        <v>930</v>
      </c>
      <c r="B99" s="387"/>
      <c r="C99" s="387"/>
      <c r="D99" s="387"/>
      <c r="E99" s="387"/>
      <c r="F99" s="387"/>
      <c r="G99" s="15">
        <v>90</v>
      </c>
      <c r="H99" s="16"/>
      <c r="I99" s="66">
        <f>SUM(I100:I105)</f>
        <v>0</v>
      </c>
      <c r="J99" s="66">
        <f>SUM(J100:J105)</f>
        <v>0</v>
      </c>
    </row>
    <row r="100" spans="1:10" ht="13.5" customHeight="1">
      <c r="A100" s="385" t="s">
        <v>1881</v>
      </c>
      <c r="B100" s="385"/>
      <c r="C100" s="385"/>
      <c r="D100" s="385"/>
      <c r="E100" s="385"/>
      <c r="F100" s="385"/>
      <c r="G100" s="15">
        <v>91</v>
      </c>
      <c r="H100" s="16"/>
      <c r="I100" s="67"/>
      <c r="J100" s="67"/>
    </row>
    <row r="101" spans="1:10" ht="13.5" customHeight="1">
      <c r="A101" s="385" t="s">
        <v>1882</v>
      </c>
      <c r="B101" s="385"/>
      <c r="C101" s="385"/>
      <c r="D101" s="385"/>
      <c r="E101" s="385"/>
      <c r="F101" s="385"/>
      <c r="G101" s="15">
        <v>92</v>
      </c>
      <c r="H101" s="16"/>
      <c r="I101" s="67"/>
      <c r="J101" s="67"/>
    </row>
    <row r="102" spans="1:10" ht="13.5" customHeight="1">
      <c r="A102" s="385" t="s">
        <v>129</v>
      </c>
      <c r="B102" s="385"/>
      <c r="C102" s="385"/>
      <c r="D102" s="385"/>
      <c r="E102" s="385"/>
      <c r="F102" s="385"/>
      <c r="G102" s="15">
        <v>93</v>
      </c>
      <c r="H102" s="16"/>
      <c r="I102" s="67"/>
      <c r="J102" s="67"/>
    </row>
    <row r="103" spans="1:10" ht="13.5" customHeight="1">
      <c r="A103" s="385" t="s">
        <v>1691</v>
      </c>
      <c r="B103" s="385"/>
      <c r="C103" s="385"/>
      <c r="D103" s="385"/>
      <c r="E103" s="385"/>
      <c r="F103" s="385"/>
      <c r="G103" s="15">
        <v>94</v>
      </c>
      <c r="H103" s="16"/>
      <c r="I103" s="67"/>
      <c r="J103" s="67"/>
    </row>
    <row r="104" spans="1:10" ht="13.5" customHeight="1">
      <c r="A104" s="385" t="s">
        <v>143</v>
      </c>
      <c r="B104" s="385"/>
      <c r="C104" s="385"/>
      <c r="D104" s="385"/>
      <c r="E104" s="385"/>
      <c r="F104" s="385"/>
      <c r="G104" s="15">
        <v>95</v>
      </c>
      <c r="H104" s="16"/>
      <c r="I104" s="67"/>
      <c r="J104" s="67"/>
    </row>
    <row r="105" spans="1:10" ht="13.5" customHeight="1">
      <c r="A105" s="385" t="s">
        <v>2643</v>
      </c>
      <c r="B105" s="385"/>
      <c r="C105" s="385"/>
      <c r="D105" s="385"/>
      <c r="E105" s="385"/>
      <c r="F105" s="385"/>
      <c r="G105" s="15">
        <v>96</v>
      </c>
      <c r="H105" s="16"/>
      <c r="I105" s="67"/>
      <c r="J105" s="67"/>
    </row>
    <row r="106" spans="1:10" ht="13.5" customHeight="1">
      <c r="A106" s="387" t="s">
        <v>931</v>
      </c>
      <c r="B106" s="387"/>
      <c r="C106" s="387"/>
      <c r="D106" s="387"/>
      <c r="E106" s="387"/>
      <c r="F106" s="387"/>
      <c r="G106" s="15">
        <v>97</v>
      </c>
      <c r="H106" s="16"/>
      <c r="I106" s="66">
        <f>SUM(I107:I117)</f>
        <v>0</v>
      </c>
      <c r="J106" s="66">
        <f>SUM(J107:J117)</f>
        <v>0</v>
      </c>
    </row>
    <row r="107" spans="1:10" ht="13.5" customHeight="1">
      <c r="A107" s="385" t="s">
        <v>2644</v>
      </c>
      <c r="B107" s="385"/>
      <c r="C107" s="385"/>
      <c r="D107" s="385"/>
      <c r="E107" s="385"/>
      <c r="F107" s="385"/>
      <c r="G107" s="15">
        <v>98</v>
      </c>
      <c r="H107" s="16"/>
      <c r="I107" s="67"/>
      <c r="J107" s="67"/>
    </row>
    <row r="108" spans="1:10" ht="13.5" customHeight="1">
      <c r="A108" s="385" t="s">
        <v>2556</v>
      </c>
      <c r="B108" s="385"/>
      <c r="C108" s="385"/>
      <c r="D108" s="385"/>
      <c r="E108" s="385"/>
      <c r="F108" s="385"/>
      <c r="G108" s="15">
        <v>99</v>
      </c>
      <c r="H108" s="16"/>
      <c r="I108" s="67"/>
      <c r="J108" s="67"/>
    </row>
    <row r="109" spans="1:10" ht="13.5" customHeight="1">
      <c r="A109" s="385" t="s">
        <v>2560</v>
      </c>
      <c r="B109" s="385"/>
      <c r="C109" s="385"/>
      <c r="D109" s="385"/>
      <c r="E109" s="385"/>
      <c r="F109" s="385"/>
      <c r="G109" s="15">
        <v>100</v>
      </c>
      <c r="H109" s="16"/>
      <c r="I109" s="67"/>
      <c r="J109" s="67"/>
    </row>
    <row r="110" spans="1:10" ht="24.75" customHeight="1">
      <c r="A110" s="385" t="s">
        <v>1268</v>
      </c>
      <c r="B110" s="385"/>
      <c r="C110" s="385"/>
      <c r="D110" s="385"/>
      <c r="E110" s="385"/>
      <c r="F110" s="385"/>
      <c r="G110" s="15">
        <v>101</v>
      </c>
      <c r="H110" s="16"/>
      <c r="I110" s="67"/>
      <c r="J110" s="67"/>
    </row>
    <row r="111" spans="1:10" ht="13.5" customHeight="1">
      <c r="A111" s="385" t="s">
        <v>2561</v>
      </c>
      <c r="B111" s="385"/>
      <c r="C111" s="385"/>
      <c r="D111" s="385"/>
      <c r="E111" s="385"/>
      <c r="F111" s="385"/>
      <c r="G111" s="15">
        <v>102</v>
      </c>
      <c r="H111" s="16"/>
      <c r="I111" s="67"/>
      <c r="J111" s="67"/>
    </row>
    <row r="112" spans="1:10" ht="13.5" customHeight="1">
      <c r="A112" s="385" t="s">
        <v>2562</v>
      </c>
      <c r="B112" s="385"/>
      <c r="C112" s="385"/>
      <c r="D112" s="385"/>
      <c r="E112" s="385"/>
      <c r="F112" s="385"/>
      <c r="G112" s="15">
        <v>103</v>
      </c>
      <c r="H112" s="16"/>
      <c r="I112" s="67"/>
      <c r="J112" s="67"/>
    </row>
    <row r="113" spans="1:10" ht="13.5" customHeight="1">
      <c r="A113" s="385" t="s">
        <v>2557</v>
      </c>
      <c r="B113" s="385"/>
      <c r="C113" s="385"/>
      <c r="D113" s="385"/>
      <c r="E113" s="385"/>
      <c r="F113" s="385"/>
      <c r="G113" s="15">
        <v>104</v>
      </c>
      <c r="H113" s="16"/>
      <c r="I113" s="67"/>
      <c r="J113" s="67"/>
    </row>
    <row r="114" spans="1:10" ht="13.5" customHeight="1">
      <c r="A114" s="385" t="s">
        <v>2558</v>
      </c>
      <c r="B114" s="385"/>
      <c r="C114" s="385"/>
      <c r="D114" s="385"/>
      <c r="E114" s="385"/>
      <c r="F114" s="385"/>
      <c r="G114" s="15">
        <v>105</v>
      </c>
      <c r="H114" s="16"/>
      <c r="I114" s="67"/>
      <c r="J114" s="67"/>
    </row>
    <row r="115" spans="1:10" ht="13.5" customHeight="1">
      <c r="A115" s="385" t="s">
        <v>2559</v>
      </c>
      <c r="B115" s="385"/>
      <c r="C115" s="385"/>
      <c r="D115" s="385"/>
      <c r="E115" s="385"/>
      <c r="F115" s="385"/>
      <c r="G115" s="15">
        <v>106</v>
      </c>
      <c r="H115" s="16"/>
      <c r="I115" s="67"/>
      <c r="J115" s="67"/>
    </row>
    <row r="116" spans="1:10" ht="13.5" customHeight="1">
      <c r="A116" s="385" t="s">
        <v>144</v>
      </c>
      <c r="B116" s="385"/>
      <c r="C116" s="385"/>
      <c r="D116" s="385"/>
      <c r="E116" s="385"/>
      <c r="F116" s="385"/>
      <c r="G116" s="15">
        <v>107</v>
      </c>
      <c r="H116" s="16"/>
      <c r="I116" s="67"/>
      <c r="J116" s="67"/>
    </row>
    <row r="117" spans="1:10" ht="13.5" customHeight="1">
      <c r="A117" s="385" t="s">
        <v>145</v>
      </c>
      <c r="B117" s="385"/>
      <c r="C117" s="385"/>
      <c r="D117" s="385"/>
      <c r="E117" s="385"/>
      <c r="F117" s="385"/>
      <c r="G117" s="15">
        <v>108</v>
      </c>
      <c r="H117" s="16"/>
      <c r="I117" s="67"/>
      <c r="J117" s="67"/>
    </row>
    <row r="118" spans="1:10" ht="13.5" customHeight="1">
      <c r="A118" s="387" t="s">
        <v>932</v>
      </c>
      <c r="B118" s="387"/>
      <c r="C118" s="387"/>
      <c r="D118" s="387"/>
      <c r="E118" s="387"/>
      <c r="F118" s="387"/>
      <c r="G118" s="15">
        <v>109</v>
      </c>
      <c r="H118" s="16"/>
      <c r="I118" s="66">
        <f>SUM(I119:I132)</f>
        <v>600719</v>
      </c>
      <c r="J118" s="66">
        <f>SUM(J119:J132)</f>
        <v>562679</v>
      </c>
    </row>
    <row r="119" spans="1:10" ht="13.5" customHeight="1">
      <c r="A119" s="385" t="s">
        <v>2644</v>
      </c>
      <c r="B119" s="385"/>
      <c r="C119" s="385"/>
      <c r="D119" s="385"/>
      <c r="E119" s="385"/>
      <c r="F119" s="385"/>
      <c r="G119" s="15">
        <v>110</v>
      </c>
      <c r="H119" s="16"/>
      <c r="I119" s="67"/>
      <c r="J119" s="67"/>
    </row>
    <row r="120" spans="1:10" ht="13.5" customHeight="1">
      <c r="A120" s="385" t="s">
        <v>2556</v>
      </c>
      <c r="B120" s="385"/>
      <c r="C120" s="385"/>
      <c r="D120" s="385"/>
      <c r="E120" s="385"/>
      <c r="F120" s="385"/>
      <c r="G120" s="15">
        <v>111</v>
      </c>
      <c r="H120" s="16"/>
      <c r="I120" s="67"/>
      <c r="J120" s="67"/>
    </row>
    <row r="121" spans="1:10" ht="13.5" customHeight="1">
      <c r="A121" s="385" t="s">
        <v>2560</v>
      </c>
      <c r="B121" s="385"/>
      <c r="C121" s="385"/>
      <c r="D121" s="385"/>
      <c r="E121" s="385"/>
      <c r="F121" s="385"/>
      <c r="G121" s="15">
        <v>112</v>
      </c>
      <c r="H121" s="16"/>
      <c r="I121" s="67"/>
      <c r="J121" s="67"/>
    </row>
    <row r="122" spans="1:10" ht="24.75" customHeight="1">
      <c r="A122" s="385" t="s">
        <v>1268</v>
      </c>
      <c r="B122" s="385"/>
      <c r="C122" s="385"/>
      <c r="D122" s="385"/>
      <c r="E122" s="385"/>
      <c r="F122" s="385"/>
      <c r="G122" s="15">
        <v>113</v>
      </c>
      <c r="H122" s="16"/>
      <c r="I122" s="67"/>
      <c r="J122" s="67"/>
    </row>
    <row r="123" spans="1:10" ht="13.5" customHeight="1">
      <c r="A123" s="385" t="s">
        <v>2561</v>
      </c>
      <c r="B123" s="385"/>
      <c r="C123" s="385"/>
      <c r="D123" s="385"/>
      <c r="E123" s="385"/>
      <c r="F123" s="385"/>
      <c r="G123" s="15">
        <v>114</v>
      </c>
      <c r="H123" s="16"/>
      <c r="I123" s="67">
        <v>25000</v>
      </c>
      <c r="J123" s="67">
        <v>50000</v>
      </c>
    </row>
    <row r="124" spans="1:10" ht="13.5" customHeight="1">
      <c r="A124" s="385" t="s">
        <v>2562</v>
      </c>
      <c r="B124" s="385"/>
      <c r="C124" s="385"/>
      <c r="D124" s="385"/>
      <c r="E124" s="385"/>
      <c r="F124" s="385"/>
      <c r="G124" s="15">
        <v>115</v>
      </c>
      <c r="H124" s="16"/>
      <c r="I124" s="67"/>
      <c r="J124" s="67"/>
    </row>
    <row r="125" spans="1:10" ht="13.5" customHeight="1">
      <c r="A125" s="385" t="s">
        <v>2557</v>
      </c>
      <c r="B125" s="385"/>
      <c r="C125" s="385"/>
      <c r="D125" s="385"/>
      <c r="E125" s="385"/>
      <c r="F125" s="385"/>
      <c r="G125" s="15">
        <v>116</v>
      </c>
      <c r="H125" s="16"/>
      <c r="I125" s="67"/>
      <c r="J125" s="67"/>
    </row>
    <row r="126" spans="1:10" ht="13.5" customHeight="1">
      <c r="A126" s="385" t="s">
        <v>2558</v>
      </c>
      <c r="B126" s="385"/>
      <c r="C126" s="385"/>
      <c r="D126" s="385"/>
      <c r="E126" s="385"/>
      <c r="F126" s="385"/>
      <c r="G126" s="15">
        <v>117</v>
      </c>
      <c r="H126" s="16"/>
      <c r="I126" s="67">
        <v>277969</v>
      </c>
      <c r="J126" s="67">
        <v>232637</v>
      </c>
    </row>
    <row r="127" spans="1:10" ht="13.5" customHeight="1">
      <c r="A127" s="385" t="s">
        <v>2559</v>
      </c>
      <c r="B127" s="385"/>
      <c r="C127" s="385"/>
      <c r="D127" s="385"/>
      <c r="E127" s="385"/>
      <c r="F127" s="385"/>
      <c r="G127" s="15">
        <v>118</v>
      </c>
      <c r="H127" s="16"/>
      <c r="I127" s="67"/>
      <c r="J127" s="67"/>
    </row>
    <row r="128" spans="1:10" ht="13.5" customHeight="1">
      <c r="A128" s="385" t="s">
        <v>2563</v>
      </c>
      <c r="B128" s="385"/>
      <c r="C128" s="385"/>
      <c r="D128" s="385"/>
      <c r="E128" s="385"/>
      <c r="F128" s="385"/>
      <c r="G128" s="15">
        <v>119</v>
      </c>
      <c r="H128" s="16"/>
      <c r="I128" s="67">
        <v>187190</v>
      </c>
      <c r="J128" s="67">
        <v>156790</v>
      </c>
    </row>
    <row r="129" spans="1:10" ht="13.5" customHeight="1">
      <c r="A129" s="385" t="s">
        <v>2564</v>
      </c>
      <c r="B129" s="385"/>
      <c r="C129" s="385"/>
      <c r="D129" s="385"/>
      <c r="E129" s="385"/>
      <c r="F129" s="385"/>
      <c r="G129" s="15">
        <v>120</v>
      </c>
      <c r="H129" s="16"/>
      <c r="I129" s="67">
        <v>107328</v>
      </c>
      <c r="J129" s="67">
        <v>118099</v>
      </c>
    </row>
    <row r="130" spans="1:10" ht="13.5" customHeight="1">
      <c r="A130" s="385" t="s">
        <v>2565</v>
      </c>
      <c r="B130" s="385"/>
      <c r="C130" s="385"/>
      <c r="D130" s="385"/>
      <c r="E130" s="385"/>
      <c r="F130" s="385"/>
      <c r="G130" s="15">
        <v>121</v>
      </c>
      <c r="H130" s="16"/>
      <c r="I130" s="67"/>
      <c r="J130" s="67"/>
    </row>
    <row r="131" spans="1:10" ht="13.5" customHeight="1">
      <c r="A131" s="385" t="s">
        <v>2598</v>
      </c>
      <c r="B131" s="385"/>
      <c r="C131" s="385"/>
      <c r="D131" s="385"/>
      <c r="E131" s="385"/>
      <c r="F131" s="385"/>
      <c r="G131" s="15">
        <v>122</v>
      </c>
      <c r="H131" s="16"/>
      <c r="I131" s="67"/>
      <c r="J131" s="67"/>
    </row>
    <row r="132" spans="1:10" ht="13.5" customHeight="1">
      <c r="A132" s="385" t="s">
        <v>2043</v>
      </c>
      <c r="B132" s="385"/>
      <c r="C132" s="385"/>
      <c r="D132" s="385"/>
      <c r="E132" s="385"/>
      <c r="F132" s="385"/>
      <c r="G132" s="15">
        <v>123</v>
      </c>
      <c r="H132" s="16"/>
      <c r="I132" s="67">
        <v>3232</v>
      </c>
      <c r="J132" s="67">
        <v>5153</v>
      </c>
    </row>
    <row r="133" spans="1:10" ht="24.75" customHeight="1">
      <c r="A133" s="387" t="s">
        <v>1269</v>
      </c>
      <c r="B133" s="387"/>
      <c r="C133" s="387"/>
      <c r="D133" s="387"/>
      <c r="E133" s="387"/>
      <c r="F133" s="387"/>
      <c r="G133" s="15">
        <v>124</v>
      </c>
      <c r="H133" s="16"/>
      <c r="I133" s="67">
        <v>6647564</v>
      </c>
      <c r="J133" s="67">
        <v>6429172</v>
      </c>
    </row>
    <row r="134" spans="1:10" ht="13.5" customHeight="1">
      <c r="A134" s="387" t="s">
        <v>2241</v>
      </c>
      <c r="B134" s="387"/>
      <c r="C134" s="387"/>
      <c r="D134" s="387"/>
      <c r="E134" s="387"/>
      <c r="F134" s="387"/>
      <c r="G134" s="15">
        <v>125</v>
      </c>
      <c r="H134" s="16"/>
      <c r="I134" s="66">
        <f>I76+I99+I106+I118+I133</f>
        <v>11856102</v>
      </c>
      <c r="J134" s="66">
        <f>J76+J99+J106+J118+J133</f>
        <v>11607939</v>
      </c>
    </row>
    <row r="135" spans="1:10" ht="13.5" customHeight="1">
      <c r="A135" s="388" t="s">
        <v>385</v>
      </c>
      <c r="B135" s="388"/>
      <c r="C135" s="388"/>
      <c r="D135" s="388"/>
      <c r="E135" s="388"/>
      <c r="F135" s="388"/>
      <c r="G135" s="17">
        <v>126</v>
      </c>
      <c r="H135" s="18"/>
      <c r="I135" s="68">
        <v>110000</v>
      </c>
      <c r="J135" s="68">
        <v>110000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A33:F33"/>
    <mergeCell ref="A17:F17"/>
    <mergeCell ref="A18:F18"/>
    <mergeCell ref="J2:J3"/>
    <mergeCell ref="A2:I2"/>
    <mergeCell ref="A3:I3"/>
    <mergeCell ref="A5:J5"/>
    <mergeCell ref="A6:F6"/>
    <mergeCell ref="A7:F7"/>
    <mergeCell ref="A16:F16"/>
    <mergeCell ref="A100:F100"/>
    <mergeCell ref="A108:F108"/>
    <mergeCell ref="A87:F87"/>
    <mergeCell ref="A88:F88"/>
    <mergeCell ref="A90:F90"/>
    <mergeCell ref="A91:F91"/>
    <mergeCell ref="A99:F99"/>
    <mergeCell ref="A93:F93"/>
    <mergeCell ref="A94:F94"/>
    <mergeCell ref="A95:F95"/>
    <mergeCell ref="A19:F19"/>
    <mergeCell ref="A20:F20"/>
    <mergeCell ref="A27:F27"/>
    <mergeCell ref="A28:F28"/>
    <mergeCell ref="A21:F21"/>
    <mergeCell ref="A13:F13"/>
    <mergeCell ref="A25:F25"/>
    <mergeCell ref="A26:F26"/>
    <mergeCell ref="A32:F32"/>
    <mergeCell ref="A9:F9"/>
    <mergeCell ref="A10:F10"/>
    <mergeCell ref="A11:F11"/>
    <mergeCell ref="A12:F12"/>
    <mergeCell ref="A109:F109"/>
    <mergeCell ref="A104:F104"/>
    <mergeCell ref="A105:F105"/>
    <mergeCell ref="A106:F106"/>
    <mergeCell ref="A107:F107"/>
    <mergeCell ref="A42:F42"/>
    <mergeCell ref="A43:F43"/>
    <mergeCell ref="A34:F34"/>
    <mergeCell ref="A35:F35"/>
    <mergeCell ref="A22:F22"/>
    <mergeCell ref="A23:F23"/>
    <mergeCell ref="A24:F24"/>
    <mergeCell ref="A29:F29"/>
    <mergeCell ref="A30:F30"/>
    <mergeCell ref="A31:F31"/>
    <mergeCell ref="A37:F37"/>
    <mergeCell ref="A36:F36"/>
    <mergeCell ref="A38:F38"/>
    <mergeCell ref="A39:F39"/>
    <mergeCell ref="A40:F40"/>
    <mergeCell ref="A41:F41"/>
    <mergeCell ref="A58:F58"/>
    <mergeCell ref="A59:F59"/>
    <mergeCell ref="A48:F48"/>
    <mergeCell ref="A49:F49"/>
    <mergeCell ref="A50:F50"/>
    <mergeCell ref="A51:F51"/>
    <mergeCell ref="A52:F52"/>
    <mergeCell ref="A53:F53"/>
    <mergeCell ref="A54:F54"/>
    <mergeCell ref="A55:F55"/>
    <mergeCell ref="A56:F56"/>
    <mergeCell ref="A57:F57"/>
    <mergeCell ref="A44:F44"/>
    <mergeCell ref="A45:F45"/>
    <mergeCell ref="A46:F46"/>
    <mergeCell ref="A47:F47"/>
    <mergeCell ref="A60:F60"/>
    <mergeCell ref="A61:F61"/>
    <mergeCell ref="A76:F76"/>
    <mergeCell ref="A68:F68"/>
    <mergeCell ref="A62:F62"/>
    <mergeCell ref="A63:F63"/>
    <mergeCell ref="A64:F64"/>
    <mergeCell ref="A65:F65"/>
    <mergeCell ref="A66:F66"/>
    <mergeCell ref="A69:F69"/>
    <mergeCell ref="A81:F81"/>
    <mergeCell ref="A83:F83"/>
    <mergeCell ref="A84:F84"/>
    <mergeCell ref="A86:F86"/>
    <mergeCell ref="A89:F89"/>
    <mergeCell ref="A92:F92"/>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22" sqref="J2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1" t="s">
        <v>2201</v>
      </c>
      <c r="B2" s="421"/>
      <c r="C2" s="421"/>
      <c r="D2" s="421"/>
      <c r="E2" s="421"/>
      <c r="F2" s="421"/>
      <c r="G2" s="421"/>
      <c r="H2" s="421"/>
      <c r="I2" s="422"/>
      <c r="J2" s="389" t="s">
        <v>83</v>
      </c>
      <c r="Q2" s="70">
        <f>IF(OR(MIN(I8:I113)&lt;0,MAX(I8:I113)&gt;0),1,0)</f>
        <v>1</v>
      </c>
      <c r="R2" s="69" t="s">
        <v>77</v>
      </c>
    </row>
    <row r="3" spans="1:18" s="2" customFormat="1" ht="19.5" customHeight="1" thickBot="1">
      <c r="A3" s="394" t="str">
        <f>"za razdoblje "&amp;IF(RefStr!C4&lt;&gt;"",TEXT(RefStr!C4,"DD.MM.YYYY."),"__.__.____.")&amp;" do "&amp;IF(RefStr!F4&lt;&gt;"",TEXT(RefStr!F4,"DD.MM.YYYY."),"__.__.____.")</f>
        <v>za razdoblje 01.01.2021. do 31.12.2021.</v>
      </c>
      <c r="B3" s="423"/>
      <c r="C3" s="423"/>
      <c r="D3" s="423"/>
      <c r="E3" s="423"/>
      <c r="F3" s="423"/>
      <c r="G3" s="423"/>
      <c r="H3" s="423"/>
      <c r="I3" s="424"/>
      <c r="J3" s="390"/>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8" t="str">
        <f>"Obveznik: "&amp;IF(RefStr!C27&lt;&gt;"",RefStr!C27,"________")&amp;"; "&amp;IF(RefStr!C29&lt;&gt;"",RefStr!C29,"________________________________________________________"&amp;"; "&amp;IF(RefStr!F31&lt;&gt;"",RefStr!F31,"_______________"))</f>
        <v>Obveznik: 92143159456; PONIKVE USLUGA d.o.o.</v>
      </c>
      <c r="B5" s="419"/>
      <c r="C5" s="419"/>
      <c r="D5" s="419"/>
      <c r="E5" s="419"/>
      <c r="F5" s="419"/>
      <c r="G5" s="419"/>
      <c r="H5" s="419"/>
      <c r="I5" s="419"/>
      <c r="J5" s="420"/>
      <c r="Q5" s="2">
        <f>IF(OR(MIN(I85:I87,I111:I113)&lt;0,MAX(I85:I87,I111:I113)&gt;0),1,0)</f>
        <v>0</v>
      </c>
      <c r="R5" s="69" t="s">
        <v>79</v>
      </c>
    </row>
    <row r="6" spans="1:18" s="2" customFormat="1" ht="24.75" customHeight="1" thickBot="1">
      <c r="A6" s="400" t="s">
        <v>2849</v>
      </c>
      <c r="B6" s="401"/>
      <c r="C6" s="401"/>
      <c r="D6" s="401"/>
      <c r="E6" s="401"/>
      <c r="F6" s="401"/>
      <c r="G6" s="93" t="s">
        <v>1309</v>
      </c>
      <c r="H6" s="93" t="s">
        <v>717</v>
      </c>
      <c r="I6" s="98" t="s">
        <v>1900</v>
      </c>
      <c r="J6" s="99" t="s">
        <v>1901</v>
      </c>
      <c r="Q6" s="2">
        <f>IF(OR(MIN(J85:J87,J111:J113)&lt;0,MAX(J85:J87,J111:J113)&gt;0),1,0)</f>
        <v>0</v>
      </c>
      <c r="R6" s="69" t="s">
        <v>80</v>
      </c>
    </row>
    <row r="7" spans="1:18" s="2" customFormat="1" ht="13.5" customHeight="1">
      <c r="A7" s="402">
        <v>1</v>
      </c>
      <c r="B7" s="403"/>
      <c r="C7" s="403"/>
      <c r="D7" s="403"/>
      <c r="E7" s="403"/>
      <c r="F7" s="403"/>
      <c r="G7" s="101">
        <v>2</v>
      </c>
      <c r="H7" s="101">
        <v>3</v>
      </c>
      <c r="I7" s="100">
        <v>4</v>
      </c>
      <c r="J7" s="102">
        <v>5</v>
      </c>
      <c r="Q7" s="2">
        <f>IF(OR(MIN(RDG!I89:J109)&lt;0,MAX(RDG!I89:J109)&gt;0),1,0)</f>
        <v>0</v>
      </c>
      <c r="R7" s="69" t="s">
        <v>1310</v>
      </c>
    </row>
    <row r="8" spans="1:18" s="2" customFormat="1" ht="14.25" customHeight="1">
      <c r="A8" s="415" t="s">
        <v>933</v>
      </c>
      <c r="B8" s="415"/>
      <c r="C8" s="415"/>
      <c r="D8" s="415"/>
      <c r="E8" s="415"/>
      <c r="F8" s="415"/>
      <c r="G8" s="13">
        <v>127</v>
      </c>
      <c r="H8" s="14"/>
      <c r="I8" s="80">
        <f>SUM(I9:I13)</f>
        <v>5735156</v>
      </c>
      <c r="J8" s="80">
        <f>SUM(J9:J13)</f>
        <v>5692801</v>
      </c>
      <c r="Q8" s="2">
        <f>IF(OR(MIN(I70:J75)&lt;&gt;0,MAX(I70:J75)&lt;&gt;0),1,0)</f>
        <v>0</v>
      </c>
      <c r="R8" s="69" t="s">
        <v>88</v>
      </c>
    </row>
    <row r="9" spans="1:10" s="2" customFormat="1" ht="14.25" customHeight="1">
      <c r="A9" s="385" t="s">
        <v>2228</v>
      </c>
      <c r="B9" s="385"/>
      <c r="C9" s="385"/>
      <c r="D9" s="385"/>
      <c r="E9" s="385"/>
      <c r="F9" s="385"/>
      <c r="G9" s="15">
        <v>128</v>
      </c>
      <c r="H9" s="16"/>
      <c r="I9" s="67"/>
      <c r="J9" s="67"/>
    </row>
    <row r="10" spans="1:10" s="2" customFormat="1" ht="14.25" customHeight="1">
      <c r="A10" s="385" t="s">
        <v>2858</v>
      </c>
      <c r="B10" s="385"/>
      <c r="C10" s="385"/>
      <c r="D10" s="385"/>
      <c r="E10" s="385"/>
      <c r="F10" s="385"/>
      <c r="G10" s="15">
        <v>129</v>
      </c>
      <c r="H10" s="16"/>
      <c r="I10" s="67">
        <v>5675152</v>
      </c>
      <c r="J10" s="67">
        <v>5618328</v>
      </c>
    </row>
    <row r="11" spans="1:10" s="2" customFormat="1" ht="14.25" customHeight="1">
      <c r="A11" s="385" t="s">
        <v>1765</v>
      </c>
      <c r="B11" s="385"/>
      <c r="C11" s="385"/>
      <c r="D11" s="385"/>
      <c r="E11" s="385"/>
      <c r="F11" s="385"/>
      <c r="G11" s="15">
        <v>130</v>
      </c>
      <c r="H11" s="16"/>
      <c r="I11" s="67"/>
      <c r="J11" s="67"/>
    </row>
    <row r="12" spans="1:10" s="2" customFormat="1" ht="14.25" customHeight="1">
      <c r="A12" s="385" t="s">
        <v>1766</v>
      </c>
      <c r="B12" s="385"/>
      <c r="C12" s="385"/>
      <c r="D12" s="385"/>
      <c r="E12" s="385"/>
      <c r="F12" s="385"/>
      <c r="G12" s="15">
        <v>131</v>
      </c>
      <c r="H12" s="16"/>
      <c r="I12" s="67"/>
      <c r="J12" s="67"/>
    </row>
    <row r="13" spans="1:10" s="2" customFormat="1" ht="14.25" customHeight="1">
      <c r="A13" s="385" t="s">
        <v>15</v>
      </c>
      <c r="B13" s="385"/>
      <c r="C13" s="385"/>
      <c r="D13" s="385"/>
      <c r="E13" s="385"/>
      <c r="F13" s="385"/>
      <c r="G13" s="15">
        <v>132</v>
      </c>
      <c r="H13" s="16"/>
      <c r="I13" s="67">
        <v>60004</v>
      </c>
      <c r="J13" s="67">
        <v>74473</v>
      </c>
    </row>
    <row r="14" spans="1:10" s="2" customFormat="1" ht="14.25" customHeight="1">
      <c r="A14" s="387" t="s">
        <v>934</v>
      </c>
      <c r="B14" s="387"/>
      <c r="C14" s="387"/>
      <c r="D14" s="387"/>
      <c r="E14" s="387"/>
      <c r="F14" s="387"/>
      <c r="G14" s="15">
        <v>133</v>
      </c>
      <c r="H14" s="16"/>
      <c r="I14" s="66">
        <f>I15+I16+I20+I24+I25+I26+I29+I36</f>
        <v>5718126</v>
      </c>
      <c r="J14" s="66">
        <f>J15+J16+J20+J24+J25+J26+J29+J36</f>
        <v>5682019</v>
      </c>
    </row>
    <row r="15" spans="1:12" s="2" customFormat="1" ht="14.25" customHeight="1">
      <c r="A15" s="385" t="s">
        <v>2899</v>
      </c>
      <c r="B15" s="385"/>
      <c r="C15" s="385"/>
      <c r="D15" s="385"/>
      <c r="E15" s="385"/>
      <c r="F15" s="385"/>
      <c r="G15" s="15">
        <v>134</v>
      </c>
      <c r="H15" s="16"/>
      <c r="I15" s="67"/>
      <c r="J15" s="67"/>
      <c r="L15" s="2" t="s">
        <v>82</v>
      </c>
    </row>
    <row r="16" spans="1:10" s="2" customFormat="1" ht="14.25" customHeight="1">
      <c r="A16" s="385" t="s">
        <v>935</v>
      </c>
      <c r="B16" s="385"/>
      <c r="C16" s="385"/>
      <c r="D16" s="385"/>
      <c r="E16" s="385"/>
      <c r="F16" s="385"/>
      <c r="G16" s="15">
        <v>135</v>
      </c>
      <c r="H16" s="16"/>
      <c r="I16" s="66">
        <f>SUM(I17:I19)</f>
        <v>2253465</v>
      </c>
      <c r="J16" s="66">
        <f>SUM(J17:J19)</f>
        <v>2334572</v>
      </c>
    </row>
    <row r="17" spans="1:10" s="2" customFormat="1" ht="14.25" customHeight="1">
      <c r="A17" s="414" t="s">
        <v>146</v>
      </c>
      <c r="B17" s="414"/>
      <c r="C17" s="414"/>
      <c r="D17" s="414"/>
      <c r="E17" s="414"/>
      <c r="F17" s="414"/>
      <c r="G17" s="15">
        <v>136</v>
      </c>
      <c r="H17" s="16"/>
      <c r="I17" s="67">
        <v>470743</v>
      </c>
      <c r="J17" s="67">
        <v>467017</v>
      </c>
    </row>
    <row r="18" spans="1:10" s="2" customFormat="1" ht="14.25" customHeight="1">
      <c r="A18" s="414" t="s">
        <v>147</v>
      </c>
      <c r="B18" s="414"/>
      <c r="C18" s="414"/>
      <c r="D18" s="414"/>
      <c r="E18" s="414"/>
      <c r="F18" s="414"/>
      <c r="G18" s="15">
        <v>137</v>
      </c>
      <c r="H18" s="16"/>
      <c r="I18" s="67"/>
      <c r="J18" s="67"/>
    </row>
    <row r="19" spans="1:10" s="2" customFormat="1" ht="14.25" customHeight="1">
      <c r="A19" s="414" t="s">
        <v>52</v>
      </c>
      <c r="B19" s="414"/>
      <c r="C19" s="414"/>
      <c r="D19" s="414"/>
      <c r="E19" s="414"/>
      <c r="F19" s="414"/>
      <c r="G19" s="15">
        <v>138</v>
      </c>
      <c r="H19" s="16"/>
      <c r="I19" s="67">
        <v>1782722</v>
      </c>
      <c r="J19" s="67">
        <v>1867555</v>
      </c>
    </row>
    <row r="20" spans="1:10" s="2" customFormat="1" ht="14.25" customHeight="1">
      <c r="A20" s="385" t="s">
        <v>936</v>
      </c>
      <c r="B20" s="385"/>
      <c r="C20" s="385"/>
      <c r="D20" s="385"/>
      <c r="E20" s="385"/>
      <c r="F20" s="385"/>
      <c r="G20" s="15">
        <v>139</v>
      </c>
      <c r="H20" s="16"/>
      <c r="I20" s="66">
        <f>SUM(I21:I23)</f>
        <v>2886148</v>
      </c>
      <c r="J20" s="66">
        <f>SUM(J21:J23)</f>
        <v>2594062</v>
      </c>
    </row>
    <row r="21" spans="1:10" s="2" customFormat="1" ht="14.25" customHeight="1">
      <c r="A21" s="414" t="s">
        <v>2854</v>
      </c>
      <c r="B21" s="414"/>
      <c r="C21" s="414"/>
      <c r="D21" s="414"/>
      <c r="E21" s="414"/>
      <c r="F21" s="414"/>
      <c r="G21" s="15">
        <v>140</v>
      </c>
      <c r="H21" s="16"/>
      <c r="I21" s="67">
        <v>1808550</v>
      </c>
      <c r="J21" s="67">
        <v>1668431</v>
      </c>
    </row>
    <row r="22" spans="1:10" s="2" customFormat="1" ht="14.25" customHeight="1">
      <c r="A22" s="414" t="s">
        <v>2424</v>
      </c>
      <c r="B22" s="414"/>
      <c r="C22" s="414"/>
      <c r="D22" s="414"/>
      <c r="E22" s="414"/>
      <c r="F22" s="414"/>
      <c r="G22" s="15">
        <v>141</v>
      </c>
      <c r="H22" s="16"/>
      <c r="I22" s="67">
        <v>714136</v>
      </c>
      <c r="J22" s="67">
        <v>605382</v>
      </c>
    </row>
    <row r="23" spans="1:10" s="2" customFormat="1" ht="14.25" customHeight="1">
      <c r="A23" s="414" t="s">
        <v>2425</v>
      </c>
      <c r="B23" s="414"/>
      <c r="C23" s="414"/>
      <c r="D23" s="414"/>
      <c r="E23" s="414"/>
      <c r="F23" s="414"/>
      <c r="G23" s="15">
        <v>142</v>
      </c>
      <c r="H23" s="16"/>
      <c r="I23" s="67">
        <v>363462</v>
      </c>
      <c r="J23" s="67">
        <v>320249</v>
      </c>
    </row>
    <row r="24" spans="1:10" s="2" customFormat="1" ht="14.25" customHeight="1">
      <c r="A24" s="385" t="s">
        <v>2900</v>
      </c>
      <c r="B24" s="385"/>
      <c r="C24" s="385"/>
      <c r="D24" s="385"/>
      <c r="E24" s="385"/>
      <c r="F24" s="385"/>
      <c r="G24" s="15">
        <v>143</v>
      </c>
      <c r="H24" s="16"/>
      <c r="I24" s="67">
        <v>281613</v>
      </c>
      <c r="J24" s="67">
        <v>336063</v>
      </c>
    </row>
    <row r="25" spans="1:10" s="2" customFormat="1" ht="14.25" customHeight="1">
      <c r="A25" s="385" t="s">
        <v>2901</v>
      </c>
      <c r="B25" s="385"/>
      <c r="C25" s="385"/>
      <c r="D25" s="385"/>
      <c r="E25" s="385"/>
      <c r="F25" s="385"/>
      <c r="G25" s="15">
        <v>144</v>
      </c>
      <c r="H25" s="16"/>
      <c r="I25" s="67">
        <v>296900</v>
      </c>
      <c r="J25" s="67">
        <v>405188</v>
      </c>
    </row>
    <row r="26" spans="1:12" s="2" customFormat="1" ht="14.25" customHeight="1">
      <c r="A26" s="385" t="s">
        <v>937</v>
      </c>
      <c r="B26" s="385"/>
      <c r="C26" s="385"/>
      <c r="D26" s="385"/>
      <c r="E26" s="385"/>
      <c r="F26" s="385"/>
      <c r="G26" s="15">
        <v>145</v>
      </c>
      <c r="H26" s="16"/>
      <c r="I26" s="66">
        <f>SUM(I27:I28)</f>
        <v>0</v>
      </c>
      <c r="J26" s="66">
        <f>SUM(J27:J28)</f>
        <v>0</v>
      </c>
      <c r="L26" s="2" t="s">
        <v>82</v>
      </c>
    </row>
    <row r="27" spans="1:12" s="2" customFormat="1" ht="14.25" customHeight="1">
      <c r="A27" s="414" t="s">
        <v>148</v>
      </c>
      <c r="B27" s="414"/>
      <c r="C27" s="414"/>
      <c r="D27" s="414"/>
      <c r="E27" s="414"/>
      <c r="F27" s="414"/>
      <c r="G27" s="15">
        <v>146</v>
      </c>
      <c r="H27" s="16"/>
      <c r="I27" s="67"/>
      <c r="J27" s="67"/>
      <c r="L27" s="2" t="s">
        <v>82</v>
      </c>
    </row>
    <row r="28" spans="1:12" s="2" customFormat="1" ht="14.25" customHeight="1">
      <c r="A28" s="414" t="s">
        <v>149</v>
      </c>
      <c r="B28" s="414"/>
      <c r="C28" s="414"/>
      <c r="D28" s="414"/>
      <c r="E28" s="414"/>
      <c r="F28" s="414"/>
      <c r="G28" s="15">
        <v>147</v>
      </c>
      <c r="H28" s="16"/>
      <c r="I28" s="67"/>
      <c r="J28" s="67"/>
      <c r="L28" s="2" t="s">
        <v>82</v>
      </c>
    </row>
    <row r="29" spans="1:12" s="2" customFormat="1" ht="14.25" customHeight="1">
      <c r="A29" s="385" t="s">
        <v>938</v>
      </c>
      <c r="B29" s="385"/>
      <c r="C29" s="385"/>
      <c r="D29" s="385"/>
      <c r="E29" s="385"/>
      <c r="F29" s="385"/>
      <c r="G29" s="15">
        <v>148</v>
      </c>
      <c r="H29" s="16"/>
      <c r="I29" s="66">
        <f>SUM(I30:I35)</f>
        <v>0</v>
      </c>
      <c r="J29" s="66">
        <f>SUM(J30:J35)</f>
        <v>0</v>
      </c>
      <c r="L29" s="2" t="s">
        <v>82</v>
      </c>
    </row>
    <row r="30" spans="1:12" s="2" customFormat="1" ht="14.25" customHeight="1">
      <c r="A30" s="414" t="s">
        <v>150</v>
      </c>
      <c r="B30" s="414"/>
      <c r="C30" s="414"/>
      <c r="D30" s="414"/>
      <c r="E30" s="414"/>
      <c r="F30" s="414"/>
      <c r="G30" s="15">
        <v>149</v>
      </c>
      <c r="H30" s="16"/>
      <c r="I30" s="67"/>
      <c r="J30" s="67"/>
      <c r="L30" s="2" t="s">
        <v>82</v>
      </c>
    </row>
    <row r="31" spans="1:12" s="2" customFormat="1" ht="14.25" customHeight="1">
      <c r="A31" s="414" t="s">
        <v>151</v>
      </c>
      <c r="B31" s="414"/>
      <c r="C31" s="414"/>
      <c r="D31" s="414"/>
      <c r="E31" s="414"/>
      <c r="F31" s="414"/>
      <c r="G31" s="15">
        <v>150</v>
      </c>
      <c r="H31" s="16"/>
      <c r="I31" s="67"/>
      <c r="J31" s="67"/>
      <c r="L31" s="2" t="s">
        <v>82</v>
      </c>
    </row>
    <row r="32" spans="1:12" s="2" customFormat="1" ht="14.25" customHeight="1">
      <c r="A32" s="414" t="s">
        <v>152</v>
      </c>
      <c r="B32" s="414"/>
      <c r="C32" s="414"/>
      <c r="D32" s="414"/>
      <c r="E32" s="414"/>
      <c r="F32" s="414"/>
      <c r="G32" s="15">
        <v>151</v>
      </c>
      <c r="H32" s="16"/>
      <c r="I32" s="67"/>
      <c r="J32" s="67"/>
      <c r="L32" s="2" t="s">
        <v>82</v>
      </c>
    </row>
    <row r="33" spans="1:12" s="2" customFormat="1" ht="14.25" customHeight="1">
      <c r="A33" s="414" t="s">
        <v>153</v>
      </c>
      <c r="B33" s="414"/>
      <c r="C33" s="414"/>
      <c r="D33" s="414"/>
      <c r="E33" s="414"/>
      <c r="F33" s="414"/>
      <c r="G33" s="15">
        <v>152</v>
      </c>
      <c r="H33" s="16"/>
      <c r="I33" s="67"/>
      <c r="J33" s="67"/>
      <c r="L33" s="2" t="s">
        <v>82</v>
      </c>
    </row>
    <row r="34" spans="1:12" s="2" customFormat="1" ht="14.25" customHeight="1">
      <c r="A34" s="414" t="s">
        <v>154</v>
      </c>
      <c r="B34" s="414"/>
      <c r="C34" s="414"/>
      <c r="D34" s="414"/>
      <c r="E34" s="414"/>
      <c r="F34" s="414"/>
      <c r="G34" s="15">
        <v>153</v>
      </c>
      <c r="H34" s="16"/>
      <c r="I34" s="67"/>
      <c r="J34" s="67"/>
      <c r="L34" s="2" t="s">
        <v>82</v>
      </c>
    </row>
    <row r="35" spans="1:12" s="2" customFormat="1" ht="14.25" customHeight="1">
      <c r="A35" s="414" t="s">
        <v>155</v>
      </c>
      <c r="B35" s="414"/>
      <c r="C35" s="414"/>
      <c r="D35" s="414"/>
      <c r="E35" s="414"/>
      <c r="F35" s="414"/>
      <c r="G35" s="15">
        <v>154</v>
      </c>
      <c r="H35" s="16"/>
      <c r="I35" s="67"/>
      <c r="J35" s="67"/>
      <c r="L35" s="2" t="s">
        <v>82</v>
      </c>
    </row>
    <row r="36" spans="1:10" s="2" customFormat="1" ht="14.25" customHeight="1">
      <c r="A36" s="385" t="s">
        <v>2028</v>
      </c>
      <c r="B36" s="385"/>
      <c r="C36" s="385"/>
      <c r="D36" s="385"/>
      <c r="E36" s="385"/>
      <c r="F36" s="385"/>
      <c r="G36" s="15">
        <v>155</v>
      </c>
      <c r="H36" s="16"/>
      <c r="I36" s="67"/>
      <c r="J36" s="67">
        <v>12134</v>
      </c>
    </row>
    <row r="37" spans="1:10" s="2" customFormat="1" ht="14.25" customHeight="1">
      <c r="A37" s="387" t="s">
        <v>939</v>
      </c>
      <c r="B37" s="387"/>
      <c r="C37" s="387"/>
      <c r="D37" s="387"/>
      <c r="E37" s="387"/>
      <c r="F37" s="387"/>
      <c r="G37" s="15">
        <v>156</v>
      </c>
      <c r="H37" s="16"/>
      <c r="I37" s="66">
        <f>SUM(I38:I47)</f>
        <v>12</v>
      </c>
      <c r="J37" s="66">
        <f>SUM(J38:J47)</f>
        <v>8</v>
      </c>
    </row>
    <row r="38" spans="1:10" s="2" customFormat="1" ht="14.25" customHeight="1">
      <c r="A38" s="385" t="s">
        <v>2227</v>
      </c>
      <c r="B38" s="385"/>
      <c r="C38" s="385"/>
      <c r="D38" s="385"/>
      <c r="E38" s="385"/>
      <c r="F38" s="385"/>
      <c r="G38" s="15">
        <v>157</v>
      </c>
      <c r="H38" s="16"/>
      <c r="I38" s="67"/>
      <c r="J38" s="67"/>
    </row>
    <row r="39" spans="1:10" s="2" customFormat="1" ht="24" customHeight="1">
      <c r="A39" s="385" t="s">
        <v>803</v>
      </c>
      <c r="B39" s="385"/>
      <c r="C39" s="385"/>
      <c r="D39" s="385"/>
      <c r="E39" s="385"/>
      <c r="F39" s="385"/>
      <c r="G39" s="15">
        <v>158</v>
      </c>
      <c r="H39" s="16"/>
      <c r="I39" s="67"/>
      <c r="J39" s="67"/>
    </row>
    <row r="40" spans="1:10" s="2" customFormat="1" ht="24" customHeight="1">
      <c r="A40" s="385" t="s">
        <v>2226</v>
      </c>
      <c r="B40" s="385"/>
      <c r="C40" s="385"/>
      <c r="D40" s="385"/>
      <c r="E40" s="385"/>
      <c r="F40" s="385"/>
      <c r="G40" s="15">
        <v>159</v>
      </c>
      <c r="H40" s="16"/>
      <c r="I40" s="67"/>
      <c r="J40" s="67"/>
    </row>
    <row r="41" spans="1:10" s="2" customFormat="1" ht="14.25" customHeight="1">
      <c r="A41" s="385" t="s">
        <v>57</v>
      </c>
      <c r="B41" s="385"/>
      <c r="C41" s="385"/>
      <c r="D41" s="385"/>
      <c r="E41" s="385"/>
      <c r="F41" s="385"/>
      <c r="G41" s="15">
        <v>160</v>
      </c>
      <c r="H41" s="16"/>
      <c r="I41" s="67"/>
      <c r="J41" s="67"/>
    </row>
    <row r="42" spans="1:10" s="2" customFormat="1" ht="24" customHeight="1">
      <c r="A42" s="385" t="s">
        <v>804</v>
      </c>
      <c r="B42" s="385"/>
      <c r="C42" s="385"/>
      <c r="D42" s="385"/>
      <c r="E42" s="385"/>
      <c r="F42" s="385"/>
      <c r="G42" s="15">
        <v>161</v>
      </c>
      <c r="H42" s="16"/>
      <c r="I42" s="67"/>
      <c r="J42" s="67"/>
    </row>
    <row r="43" spans="1:10" s="2" customFormat="1" ht="14.25" customHeight="1">
      <c r="A43" s="385" t="s">
        <v>56</v>
      </c>
      <c r="B43" s="385"/>
      <c r="C43" s="385"/>
      <c r="D43" s="385"/>
      <c r="E43" s="385"/>
      <c r="F43" s="385"/>
      <c r="G43" s="15">
        <v>162</v>
      </c>
      <c r="H43" s="16"/>
      <c r="I43" s="67"/>
      <c r="J43" s="67"/>
    </row>
    <row r="44" spans="1:10" s="2" customFormat="1" ht="14.25" customHeight="1">
      <c r="A44" s="385" t="s">
        <v>55</v>
      </c>
      <c r="B44" s="385"/>
      <c r="C44" s="385"/>
      <c r="D44" s="385"/>
      <c r="E44" s="385"/>
      <c r="F44" s="385"/>
      <c r="G44" s="15">
        <v>163</v>
      </c>
      <c r="H44" s="16"/>
      <c r="I44" s="67">
        <v>8</v>
      </c>
      <c r="J44" s="67">
        <v>8</v>
      </c>
    </row>
    <row r="45" spans="1:10" s="2" customFormat="1" ht="14.25" customHeight="1">
      <c r="A45" s="385" t="s">
        <v>54</v>
      </c>
      <c r="B45" s="385"/>
      <c r="C45" s="385"/>
      <c r="D45" s="385"/>
      <c r="E45" s="385"/>
      <c r="F45" s="385"/>
      <c r="G45" s="15">
        <v>164</v>
      </c>
      <c r="H45" s="16"/>
      <c r="I45" s="67">
        <v>4</v>
      </c>
      <c r="J45" s="67"/>
    </row>
    <row r="46" spans="1:10" s="2" customFormat="1" ht="14.25" customHeight="1">
      <c r="A46" s="385" t="s">
        <v>53</v>
      </c>
      <c r="B46" s="385"/>
      <c r="C46" s="385"/>
      <c r="D46" s="385"/>
      <c r="E46" s="385"/>
      <c r="F46" s="385"/>
      <c r="G46" s="15">
        <v>165</v>
      </c>
      <c r="H46" s="16"/>
      <c r="I46" s="67"/>
      <c r="J46" s="67"/>
    </row>
    <row r="47" spans="1:10" s="2" customFormat="1" ht="14.25" customHeight="1">
      <c r="A47" s="385" t="s">
        <v>49</v>
      </c>
      <c r="B47" s="385"/>
      <c r="C47" s="385"/>
      <c r="D47" s="385"/>
      <c r="E47" s="385"/>
      <c r="F47" s="385"/>
      <c r="G47" s="15">
        <v>166</v>
      </c>
      <c r="H47" s="16"/>
      <c r="I47" s="67"/>
      <c r="J47" s="67"/>
    </row>
    <row r="48" spans="1:10" s="2" customFormat="1" ht="14.25" customHeight="1">
      <c r="A48" s="387" t="s">
        <v>940</v>
      </c>
      <c r="B48" s="387"/>
      <c r="C48" s="387"/>
      <c r="D48" s="387"/>
      <c r="E48" s="387"/>
      <c r="F48" s="387"/>
      <c r="G48" s="15">
        <v>167</v>
      </c>
      <c r="H48" s="16"/>
      <c r="I48" s="66">
        <f>SUM(I49:I55)</f>
        <v>1999</v>
      </c>
      <c r="J48" s="66">
        <f>SUM(J49:J55)</f>
        <v>2521</v>
      </c>
    </row>
    <row r="49" spans="1:10" s="2" customFormat="1" ht="14.25" customHeight="1">
      <c r="A49" s="385" t="s">
        <v>50</v>
      </c>
      <c r="B49" s="385"/>
      <c r="C49" s="385"/>
      <c r="D49" s="385"/>
      <c r="E49" s="385"/>
      <c r="F49" s="385"/>
      <c r="G49" s="15">
        <v>168</v>
      </c>
      <c r="H49" s="16"/>
      <c r="I49" s="67"/>
      <c r="J49" s="67"/>
    </row>
    <row r="50" spans="1:10" s="2" customFormat="1" ht="14.25" customHeight="1">
      <c r="A50" s="413" t="s">
        <v>1767</v>
      </c>
      <c r="B50" s="413"/>
      <c r="C50" s="413"/>
      <c r="D50" s="413"/>
      <c r="E50" s="413"/>
      <c r="F50" s="413"/>
      <c r="G50" s="15">
        <v>169</v>
      </c>
      <c r="H50" s="16"/>
      <c r="I50" s="67"/>
      <c r="J50" s="67"/>
    </row>
    <row r="51" spans="1:10" s="2" customFormat="1" ht="14.25" customHeight="1">
      <c r="A51" s="413" t="s">
        <v>1768</v>
      </c>
      <c r="B51" s="413"/>
      <c r="C51" s="413"/>
      <c r="D51" s="413"/>
      <c r="E51" s="413"/>
      <c r="F51" s="413"/>
      <c r="G51" s="15">
        <v>170</v>
      </c>
      <c r="H51" s="16"/>
      <c r="I51" s="67">
        <v>330</v>
      </c>
      <c r="J51" s="67">
        <v>751</v>
      </c>
    </row>
    <row r="52" spans="1:10" s="2" customFormat="1" ht="14.25" customHeight="1">
      <c r="A52" s="413" t="s">
        <v>1769</v>
      </c>
      <c r="B52" s="413"/>
      <c r="C52" s="413"/>
      <c r="D52" s="413"/>
      <c r="E52" s="413"/>
      <c r="F52" s="413"/>
      <c r="G52" s="15">
        <v>171</v>
      </c>
      <c r="H52" s="16"/>
      <c r="I52" s="67">
        <v>1669</v>
      </c>
      <c r="J52" s="67">
        <v>1770</v>
      </c>
    </row>
    <row r="53" spans="1:10" s="2" customFormat="1" ht="14.25" customHeight="1">
      <c r="A53" s="413" t="s">
        <v>1770</v>
      </c>
      <c r="B53" s="413"/>
      <c r="C53" s="413"/>
      <c r="D53" s="413"/>
      <c r="E53" s="413"/>
      <c r="F53" s="413"/>
      <c r="G53" s="15">
        <v>172</v>
      </c>
      <c r="H53" s="16"/>
      <c r="I53" s="67"/>
      <c r="J53" s="67"/>
    </row>
    <row r="54" spans="1:12" s="2" customFormat="1" ht="14.25" customHeight="1">
      <c r="A54" s="413" t="s">
        <v>1771</v>
      </c>
      <c r="B54" s="413"/>
      <c r="C54" s="413"/>
      <c r="D54" s="413"/>
      <c r="E54" s="413"/>
      <c r="F54" s="413"/>
      <c r="G54" s="15">
        <v>173</v>
      </c>
      <c r="H54" s="16"/>
      <c r="I54" s="67"/>
      <c r="J54" s="67"/>
      <c r="L54" s="2" t="s">
        <v>82</v>
      </c>
    </row>
    <row r="55" spans="1:10" s="2" customFormat="1" ht="14.25" customHeight="1">
      <c r="A55" s="413" t="s">
        <v>1772</v>
      </c>
      <c r="B55" s="413"/>
      <c r="C55" s="413"/>
      <c r="D55" s="413"/>
      <c r="E55" s="413"/>
      <c r="F55" s="413"/>
      <c r="G55" s="15">
        <v>174</v>
      </c>
      <c r="H55" s="16"/>
      <c r="I55" s="67"/>
      <c r="J55" s="67"/>
    </row>
    <row r="56" spans="1:10" s="2" customFormat="1" ht="24.75" customHeight="1">
      <c r="A56" s="387" t="s">
        <v>805</v>
      </c>
      <c r="B56" s="387"/>
      <c r="C56" s="387"/>
      <c r="D56" s="387"/>
      <c r="E56" s="387"/>
      <c r="F56" s="387"/>
      <c r="G56" s="15">
        <v>175</v>
      </c>
      <c r="H56" s="16"/>
      <c r="I56" s="67"/>
      <c r="J56" s="67"/>
    </row>
    <row r="57" spans="1:10" s="2" customFormat="1" ht="14.25" customHeight="1">
      <c r="A57" s="387" t="s">
        <v>1773</v>
      </c>
      <c r="B57" s="387"/>
      <c r="C57" s="387"/>
      <c r="D57" s="387"/>
      <c r="E57" s="387"/>
      <c r="F57" s="387"/>
      <c r="G57" s="15">
        <v>176</v>
      </c>
      <c r="H57" s="16"/>
      <c r="I57" s="67"/>
      <c r="J57" s="67"/>
    </row>
    <row r="58" spans="1:10" s="2" customFormat="1" ht="24.75" customHeight="1">
      <c r="A58" s="387" t="s">
        <v>1774</v>
      </c>
      <c r="B58" s="387"/>
      <c r="C58" s="387"/>
      <c r="D58" s="387"/>
      <c r="E58" s="387"/>
      <c r="F58" s="387"/>
      <c r="G58" s="15">
        <v>177</v>
      </c>
      <c r="H58" s="16"/>
      <c r="I58" s="67"/>
      <c r="J58" s="67"/>
    </row>
    <row r="59" spans="1:10" s="2" customFormat="1" ht="14.25" customHeight="1">
      <c r="A59" s="387" t="s">
        <v>1775</v>
      </c>
      <c r="B59" s="387"/>
      <c r="C59" s="387"/>
      <c r="D59" s="387"/>
      <c r="E59" s="387"/>
      <c r="F59" s="387"/>
      <c r="G59" s="15">
        <v>178</v>
      </c>
      <c r="H59" s="16"/>
      <c r="I59" s="67"/>
      <c r="J59" s="67"/>
    </row>
    <row r="60" spans="1:10" s="2" customFormat="1" ht="14.25" customHeight="1">
      <c r="A60" s="387" t="s">
        <v>941</v>
      </c>
      <c r="B60" s="387"/>
      <c r="C60" s="387"/>
      <c r="D60" s="387"/>
      <c r="E60" s="387"/>
      <c r="F60" s="387"/>
      <c r="G60" s="15">
        <v>179</v>
      </c>
      <c r="H60" s="16"/>
      <c r="I60" s="66">
        <f>I8+I37+I56+I57</f>
        <v>5735168</v>
      </c>
      <c r="J60" s="66">
        <f>J8+J37+J56+J57</f>
        <v>5692809</v>
      </c>
    </row>
    <row r="61" spans="1:10" s="2" customFormat="1" ht="14.25" customHeight="1">
      <c r="A61" s="387" t="s">
        <v>942</v>
      </c>
      <c r="B61" s="387"/>
      <c r="C61" s="387"/>
      <c r="D61" s="387"/>
      <c r="E61" s="387"/>
      <c r="F61" s="387"/>
      <c r="G61" s="15">
        <v>180</v>
      </c>
      <c r="H61" s="16"/>
      <c r="I61" s="66">
        <f>I14+I48+I58+I59</f>
        <v>5720125</v>
      </c>
      <c r="J61" s="66">
        <f>J14+J48+J58+J59</f>
        <v>5684540</v>
      </c>
    </row>
    <row r="62" spans="1:12" s="2" customFormat="1" ht="14.25" customHeight="1">
      <c r="A62" s="387" t="s">
        <v>943</v>
      </c>
      <c r="B62" s="387"/>
      <c r="C62" s="387"/>
      <c r="D62" s="387"/>
      <c r="E62" s="387"/>
      <c r="F62" s="387"/>
      <c r="G62" s="15">
        <v>181</v>
      </c>
      <c r="H62" s="16"/>
      <c r="I62" s="66">
        <f>I60-I61</f>
        <v>15043</v>
      </c>
      <c r="J62" s="66">
        <f>J60-J61</f>
        <v>8269</v>
      </c>
      <c r="L62" s="2" t="s">
        <v>82</v>
      </c>
    </row>
    <row r="63" spans="1:10" s="2" customFormat="1" ht="14.25" customHeight="1">
      <c r="A63" s="413" t="s">
        <v>944</v>
      </c>
      <c r="B63" s="413"/>
      <c r="C63" s="413"/>
      <c r="D63" s="413"/>
      <c r="E63" s="413"/>
      <c r="F63" s="413"/>
      <c r="G63" s="15">
        <v>182</v>
      </c>
      <c r="H63" s="16"/>
      <c r="I63" s="66">
        <f>IF(I60&gt;I61,I60-I61,0)</f>
        <v>15043</v>
      </c>
      <c r="J63" s="66">
        <f>IF(J60&gt;J61,J60-J61,0)</f>
        <v>8269</v>
      </c>
    </row>
    <row r="64" spans="1:10" s="2" customFormat="1" ht="14.25" customHeight="1">
      <c r="A64" s="413" t="s">
        <v>945</v>
      </c>
      <c r="B64" s="413"/>
      <c r="C64" s="413"/>
      <c r="D64" s="413"/>
      <c r="E64" s="413"/>
      <c r="F64" s="413"/>
      <c r="G64" s="15">
        <v>183</v>
      </c>
      <c r="H64" s="16"/>
      <c r="I64" s="66">
        <f>IF(I61&gt;I60,I61-I60,0)</f>
        <v>0</v>
      </c>
      <c r="J64" s="66">
        <f>IF(J61&gt;J60,J61-J60,0)</f>
        <v>0</v>
      </c>
    </row>
    <row r="65" spans="1:12" s="2" customFormat="1" ht="14.25" customHeight="1">
      <c r="A65" s="387" t="s">
        <v>111</v>
      </c>
      <c r="B65" s="387"/>
      <c r="C65" s="387"/>
      <c r="D65" s="387"/>
      <c r="E65" s="387"/>
      <c r="F65" s="387"/>
      <c r="G65" s="15">
        <v>184</v>
      </c>
      <c r="H65" s="16"/>
      <c r="I65" s="67"/>
      <c r="J65" s="67"/>
      <c r="L65" s="2" t="s">
        <v>82</v>
      </c>
    </row>
    <row r="66" spans="1:12" s="2" customFormat="1" ht="14.25" customHeight="1">
      <c r="A66" s="387" t="s">
        <v>946</v>
      </c>
      <c r="B66" s="387"/>
      <c r="C66" s="387"/>
      <c r="D66" s="387"/>
      <c r="E66" s="387"/>
      <c r="F66" s="387"/>
      <c r="G66" s="15">
        <v>185</v>
      </c>
      <c r="H66" s="16"/>
      <c r="I66" s="66">
        <f>I62-I65</f>
        <v>15043</v>
      </c>
      <c r="J66" s="66">
        <f>J62-J65</f>
        <v>8269</v>
      </c>
      <c r="L66" s="2" t="s">
        <v>82</v>
      </c>
    </row>
    <row r="67" spans="1:10" s="2" customFormat="1" ht="14.25" customHeight="1">
      <c r="A67" s="413" t="s">
        <v>947</v>
      </c>
      <c r="B67" s="413"/>
      <c r="C67" s="413"/>
      <c r="D67" s="413"/>
      <c r="E67" s="413"/>
      <c r="F67" s="413"/>
      <c r="G67" s="15">
        <v>186</v>
      </c>
      <c r="H67" s="16"/>
      <c r="I67" s="66">
        <f>IF(I66&gt;0,I66,0)</f>
        <v>15043</v>
      </c>
      <c r="J67" s="66">
        <f>IF(J66&gt;0,J66,0)</f>
        <v>8269</v>
      </c>
    </row>
    <row r="68" spans="1:10" s="2" customFormat="1" ht="14.25" customHeight="1">
      <c r="A68" s="425" t="s">
        <v>948</v>
      </c>
      <c r="B68" s="425"/>
      <c r="C68" s="425"/>
      <c r="D68" s="425"/>
      <c r="E68" s="425"/>
      <c r="F68" s="425"/>
      <c r="G68" s="17">
        <v>187</v>
      </c>
      <c r="H68" s="18"/>
      <c r="I68" s="81">
        <f>IF(I66&lt;0,-I66,0)</f>
        <v>0</v>
      </c>
      <c r="J68" s="81">
        <f>IF(J66&lt;0,-J66,0)</f>
        <v>0</v>
      </c>
    </row>
    <row r="69" spans="1:10" s="2" customFormat="1" ht="14.25" customHeight="1">
      <c r="A69" s="404" t="s">
        <v>51</v>
      </c>
      <c r="B69" s="404"/>
      <c r="C69" s="404"/>
      <c r="D69" s="404"/>
      <c r="E69" s="404"/>
      <c r="F69" s="404"/>
      <c r="G69" s="412"/>
      <c r="H69" s="412"/>
      <c r="I69" s="412"/>
      <c r="J69" s="412"/>
    </row>
    <row r="70" spans="1:12" s="2" customFormat="1" ht="25.5" customHeight="1">
      <c r="A70" s="387" t="s">
        <v>949</v>
      </c>
      <c r="B70" s="387"/>
      <c r="C70" s="387"/>
      <c r="D70" s="387"/>
      <c r="E70" s="387"/>
      <c r="F70" s="387"/>
      <c r="G70" s="15">
        <v>188</v>
      </c>
      <c r="H70" s="16"/>
      <c r="I70" s="66">
        <f>I71-I72</f>
        <v>0</v>
      </c>
      <c r="J70" s="66">
        <f>J71-J72</f>
        <v>0</v>
      </c>
      <c r="L70" s="2" t="s">
        <v>82</v>
      </c>
    </row>
    <row r="71" spans="1:10" s="2" customFormat="1" ht="14.25" customHeight="1">
      <c r="A71" s="413" t="s">
        <v>867</v>
      </c>
      <c r="B71" s="413"/>
      <c r="C71" s="413"/>
      <c r="D71" s="413"/>
      <c r="E71" s="413"/>
      <c r="F71" s="413"/>
      <c r="G71" s="15">
        <v>189</v>
      </c>
      <c r="H71" s="16"/>
      <c r="I71" s="67"/>
      <c r="J71" s="67"/>
    </row>
    <row r="72" spans="1:10" s="2" customFormat="1" ht="14.25" customHeight="1">
      <c r="A72" s="413" t="s">
        <v>868</v>
      </c>
      <c r="B72" s="413"/>
      <c r="C72" s="413"/>
      <c r="D72" s="413"/>
      <c r="E72" s="413"/>
      <c r="F72" s="413"/>
      <c r="G72" s="15">
        <v>190</v>
      </c>
      <c r="H72" s="16"/>
      <c r="I72" s="67"/>
      <c r="J72" s="67"/>
    </row>
    <row r="73" spans="1:12" s="2" customFormat="1" ht="14.25" customHeight="1">
      <c r="A73" s="387" t="s">
        <v>1776</v>
      </c>
      <c r="B73" s="387"/>
      <c r="C73" s="387"/>
      <c r="D73" s="387"/>
      <c r="E73" s="387"/>
      <c r="F73" s="387"/>
      <c r="G73" s="15">
        <v>191</v>
      </c>
      <c r="H73" s="16"/>
      <c r="I73" s="67"/>
      <c r="J73" s="67"/>
      <c r="L73" s="2" t="s">
        <v>82</v>
      </c>
    </row>
    <row r="74" spans="1:10" s="2" customFormat="1" ht="14.25" customHeight="1">
      <c r="A74" s="413" t="s">
        <v>950</v>
      </c>
      <c r="B74" s="413"/>
      <c r="C74" s="413"/>
      <c r="D74" s="413"/>
      <c r="E74" s="413"/>
      <c r="F74" s="413"/>
      <c r="G74" s="15">
        <v>192</v>
      </c>
      <c r="H74" s="16"/>
      <c r="I74" s="66">
        <f>IF(I70-I73&gt;0,I70-I73,0)</f>
        <v>0</v>
      </c>
      <c r="J74" s="66">
        <f>IF(J70-J73&gt;0,J70-J73,0)</f>
        <v>0</v>
      </c>
    </row>
    <row r="75" spans="1:10" s="2" customFormat="1" ht="14.25" customHeight="1">
      <c r="A75" s="425" t="s">
        <v>951</v>
      </c>
      <c r="B75" s="425"/>
      <c r="C75" s="425"/>
      <c r="D75" s="425"/>
      <c r="E75" s="425"/>
      <c r="F75" s="425"/>
      <c r="G75" s="17">
        <v>193</v>
      </c>
      <c r="H75" s="18"/>
      <c r="I75" s="81">
        <f>IF(I73-I70&gt;0,I73-I70,0)</f>
        <v>0</v>
      </c>
      <c r="J75" s="81">
        <f>IF(J73-J70&gt;0,J73-J70,0)</f>
        <v>0</v>
      </c>
    </row>
    <row r="76" spans="1:10" s="2" customFormat="1" ht="14.25" customHeight="1">
      <c r="A76" s="404" t="s">
        <v>1777</v>
      </c>
      <c r="B76" s="404"/>
      <c r="C76" s="404"/>
      <c r="D76" s="404"/>
      <c r="E76" s="404"/>
      <c r="F76" s="404"/>
      <c r="G76" s="412"/>
      <c r="H76" s="412"/>
      <c r="I76" s="412"/>
      <c r="J76" s="412"/>
    </row>
    <row r="77" spans="1:12" s="2" customFormat="1" ht="14.25" customHeight="1">
      <c r="A77" s="387" t="s">
        <v>952</v>
      </c>
      <c r="B77" s="387"/>
      <c r="C77" s="387"/>
      <c r="D77" s="387"/>
      <c r="E77" s="387"/>
      <c r="F77" s="387"/>
      <c r="G77" s="15">
        <v>194</v>
      </c>
      <c r="H77" s="16"/>
      <c r="I77" s="66">
        <f>(I62+I70)*$Q$8</f>
        <v>0</v>
      </c>
      <c r="J77" s="66">
        <f>(J62+J70)*$Q$8</f>
        <v>0</v>
      </c>
      <c r="L77" s="2" t="s">
        <v>82</v>
      </c>
    </row>
    <row r="78" spans="1:10" s="2" customFormat="1" ht="14.25" customHeight="1">
      <c r="A78" s="413" t="s">
        <v>953</v>
      </c>
      <c r="B78" s="413"/>
      <c r="C78" s="413"/>
      <c r="D78" s="413"/>
      <c r="E78" s="413"/>
      <c r="F78" s="413"/>
      <c r="G78" s="15">
        <v>195</v>
      </c>
      <c r="H78" s="16"/>
      <c r="I78" s="66">
        <f>IF(I77&gt;0,I77,0)</f>
        <v>0</v>
      </c>
      <c r="J78" s="66">
        <f>IF(J77&gt;0,J77,0)</f>
        <v>0</v>
      </c>
    </row>
    <row r="79" spans="1:10" s="2" customFormat="1" ht="14.25" customHeight="1">
      <c r="A79" s="413" t="s">
        <v>954</v>
      </c>
      <c r="B79" s="413"/>
      <c r="C79" s="413"/>
      <c r="D79" s="413"/>
      <c r="E79" s="413"/>
      <c r="F79" s="413"/>
      <c r="G79" s="15">
        <v>196</v>
      </c>
      <c r="H79" s="16"/>
      <c r="I79" s="66">
        <f>IF(I77&lt;0,-I77,0)</f>
        <v>0</v>
      </c>
      <c r="J79" s="66">
        <f>IF(J77&lt;0,-J77,0)</f>
        <v>0</v>
      </c>
    </row>
    <row r="80" spans="1:12" s="2" customFormat="1" ht="14.25" customHeight="1">
      <c r="A80" s="387" t="s">
        <v>955</v>
      </c>
      <c r="B80" s="387"/>
      <c r="C80" s="387"/>
      <c r="D80" s="387"/>
      <c r="E80" s="387"/>
      <c r="F80" s="387"/>
      <c r="G80" s="15">
        <v>197</v>
      </c>
      <c r="H80" s="16"/>
      <c r="I80" s="66">
        <f>(I73+I65)*$Q$8</f>
        <v>0</v>
      </c>
      <c r="J80" s="66">
        <f>(J73+J65)*$Q$8</f>
        <v>0</v>
      </c>
      <c r="L80" s="2" t="s">
        <v>82</v>
      </c>
    </row>
    <row r="81" spans="1:12" s="2" customFormat="1" ht="14.25" customHeight="1">
      <c r="A81" s="387" t="s">
        <v>956</v>
      </c>
      <c r="B81" s="387"/>
      <c r="C81" s="387"/>
      <c r="D81" s="387"/>
      <c r="E81" s="387"/>
      <c r="F81" s="387"/>
      <c r="G81" s="15">
        <v>198</v>
      </c>
      <c r="H81" s="16"/>
      <c r="I81" s="66">
        <f>I82-I83</f>
        <v>0</v>
      </c>
      <c r="J81" s="66">
        <f>J82-J83</f>
        <v>0</v>
      </c>
      <c r="L81" s="2" t="s">
        <v>82</v>
      </c>
    </row>
    <row r="82" spans="1:10" s="2" customFormat="1" ht="14.25" customHeight="1">
      <c r="A82" s="413" t="s">
        <v>957</v>
      </c>
      <c r="B82" s="413"/>
      <c r="C82" s="413"/>
      <c r="D82" s="413"/>
      <c r="E82" s="413"/>
      <c r="F82" s="413"/>
      <c r="G82" s="15">
        <v>199</v>
      </c>
      <c r="H82" s="16"/>
      <c r="I82" s="66">
        <f>IF(I77-I80&gt;0,I77-I80,0)</f>
        <v>0</v>
      </c>
      <c r="J82" s="66">
        <f>IF(J77-J80&gt;0,J77-J80,0)</f>
        <v>0</v>
      </c>
    </row>
    <row r="83" spans="1:10" s="2" customFormat="1" ht="14.25" customHeight="1">
      <c r="A83" s="425" t="s">
        <v>958</v>
      </c>
      <c r="B83" s="425"/>
      <c r="C83" s="425"/>
      <c r="D83" s="425"/>
      <c r="E83" s="425"/>
      <c r="F83" s="425"/>
      <c r="G83" s="17">
        <v>200</v>
      </c>
      <c r="H83" s="18"/>
      <c r="I83" s="81">
        <f>IF(I77-I80&lt;0,I80-I77,0)</f>
        <v>0</v>
      </c>
      <c r="J83" s="81">
        <f>IF(J77-J80&lt;0,J80-J77,0)</f>
        <v>0</v>
      </c>
    </row>
    <row r="84" spans="1:10" s="2" customFormat="1" ht="14.25" customHeight="1">
      <c r="A84" s="404" t="s">
        <v>1467</v>
      </c>
      <c r="B84" s="404"/>
      <c r="C84" s="404"/>
      <c r="D84" s="404"/>
      <c r="E84" s="404"/>
      <c r="F84" s="404"/>
      <c r="G84" s="412"/>
      <c r="H84" s="412"/>
      <c r="I84" s="412"/>
      <c r="J84" s="412"/>
    </row>
    <row r="85" spans="1:12" s="2" customFormat="1" ht="14.25" customHeight="1">
      <c r="A85" s="411" t="s">
        <v>959</v>
      </c>
      <c r="B85" s="411"/>
      <c r="C85" s="411"/>
      <c r="D85" s="411"/>
      <c r="E85" s="411"/>
      <c r="F85" s="411"/>
      <c r="G85" s="15">
        <v>201</v>
      </c>
      <c r="H85" s="16"/>
      <c r="I85" s="82">
        <f>SUM(I86:I87)</f>
        <v>0</v>
      </c>
      <c r="J85" s="82">
        <f>SUM(J86:J87)</f>
        <v>0</v>
      </c>
      <c r="L85" s="2" t="s">
        <v>82</v>
      </c>
    </row>
    <row r="86" spans="1:12" s="2" customFormat="1" ht="14.25" customHeight="1">
      <c r="A86" s="407" t="s">
        <v>869</v>
      </c>
      <c r="B86" s="407"/>
      <c r="C86" s="407"/>
      <c r="D86" s="407"/>
      <c r="E86" s="407"/>
      <c r="F86" s="407"/>
      <c r="G86" s="15">
        <v>202</v>
      </c>
      <c r="H86" s="16"/>
      <c r="I86" s="73"/>
      <c r="J86" s="73"/>
      <c r="L86" s="2" t="s">
        <v>82</v>
      </c>
    </row>
    <row r="87" spans="1:12" s="2" customFormat="1" ht="14.25" customHeight="1">
      <c r="A87" s="408" t="s">
        <v>1568</v>
      </c>
      <c r="B87" s="408"/>
      <c r="C87" s="408"/>
      <c r="D87" s="408"/>
      <c r="E87" s="408"/>
      <c r="F87" s="408"/>
      <c r="G87" s="17">
        <v>203</v>
      </c>
      <c r="H87" s="18"/>
      <c r="I87" s="74"/>
      <c r="J87" s="74"/>
      <c r="L87" s="2" t="s">
        <v>82</v>
      </c>
    </row>
    <row r="88" spans="1:10" s="2" customFormat="1" ht="14.25" customHeight="1">
      <c r="A88" s="416" t="s">
        <v>379</v>
      </c>
      <c r="B88" s="416"/>
      <c r="C88" s="416"/>
      <c r="D88" s="416"/>
      <c r="E88" s="416"/>
      <c r="F88" s="416"/>
      <c r="G88" s="417"/>
      <c r="H88" s="417"/>
      <c r="I88" s="417"/>
      <c r="J88" s="417"/>
    </row>
    <row r="89" spans="1:12" s="2" customFormat="1" ht="14.25" customHeight="1">
      <c r="A89" s="409" t="s">
        <v>960</v>
      </c>
      <c r="B89" s="409"/>
      <c r="C89" s="409"/>
      <c r="D89" s="409"/>
      <c r="E89" s="409"/>
      <c r="F89" s="409"/>
      <c r="G89" s="15">
        <v>204</v>
      </c>
      <c r="H89" s="16"/>
      <c r="I89" s="73"/>
      <c r="J89" s="73"/>
      <c r="L89" s="2" t="s">
        <v>82</v>
      </c>
    </row>
    <row r="90" spans="1:12" s="2" customFormat="1" ht="25.5" customHeight="1">
      <c r="A90" s="409" t="s">
        <v>2240</v>
      </c>
      <c r="B90" s="409"/>
      <c r="C90" s="409"/>
      <c r="D90" s="409"/>
      <c r="E90" s="409"/>
      <c r="F90" s="409"/>
      <c r="G90" s="15">
        <v>205</v>
      </c>
      <c r="H90" s="16"/>
      <c r="I90" s="82">
        <f>SUM(I92:I96)+SUM(I99:I106)</f>
        <v>0</v>
      </c>
      <c r="J90" s="82">
        <f>SUM(J92:J96)+SUM(J99:J106)</f>
        <v>0</v>
      </c>
      <c r="L90" s="2" t="s">
        <v>82</v>
      </c>
    </row>
    <row r="91" spans="1:12" s="2" customFormat="1" ht="14.25" customHeight="1">
      <c r="A91" s="409" t="s">
        <v>482</v>
      </c>
      <c r="B91" s="409"/>
      <c r="C91" s="409"/>
      <c r="D91" s="409"/>
      <c r="E91" s="409"/>
      <c r="F91" s="409"/>
      <c r="G91" s="15">
        <v>206</v>
      </c>
      <c r="H91" s="16"/>
      <c r="I91" s="82">
        <f>SUM(I92:I97)</f>
        <v>0</v>
      </c>
      <c r="J91" s="82">
        <f>SUM(J92:J97)</f>
        <v>0</v>
      </c>
      <c r="L91" s="2" t="s">
        <v>82</v>
      </c>
    </row>
    <row r="92" spans="1:12" s="2" customFormat="1" ht="24.75" customHeight="1">
      <c r="A92" s="385" t="s">
        <v>961</v>
      </c>
      <c r="B92" s="385"/>
      <c r="C92" s="385"/>
      <c r="D92" s="385"/>
      <c r="E92" s="385"/>
      <c r="F92" s="385"/>
      <c r="G92" s="15">
        <v>207</v>
      </c>
      <c r="H92" s="16"/>
      <c r="I92" s="73"/>
      <c r="J92" s="73"/>
      <c r="L92" s="2" t="s">
        <v>82</v>
      </c>
    </row>
    <row r="93" spans="1:12" s="2" customFormat="1" ht="24.75" customHeight="1">
      <c r="A93" s="385" t="s">
        <v>962</v>
      </c>
      <c r="B93" s="385"/>
      <c r="C93" s="385"/>
      <c r="D93" s="385"/>
      <c r="E93" s="385"/>
      <c r="F93" s="385"/>
      <c r="G93" s="15">
        <v>208</v>
      </c>
      <c r="H93" s="16"/>
      <c r="I93" s="73"/>
      <c r="J93" s="73"/>
      <c r="L93" s="2" t="s">
        <v>82</v>
      </c>
    </row>
    <row r="94" spans="1:12" s="2" customFormat="1" ht="24.75" customHeight="1">
      <c r="A94" s="385" t="s">
        <v>477</v>
      </c>
      <c r="B94" s="385"/>
      <c r="C94" s="385"/>
      <c r="D94" s="385"/>
      <c r="E94" s="385"/>
      <c r="F94" s="385"/>
      <c r="G94" s="15">
        <v>209</v>
      </c>
      <c r="H94" s="16"/>
      <c r="I94" s="73"/>
      <c r="J94" s="73"/>
      <c r="L94" s="2" t="s">
        <v>82</v>
      </c>
    </row>
    <row r="95" spans="1:12" s="2" customFormat="1" ht="14.25" customHeight="1">
      <c r="A95" s="385" t="s">
        <v>478</v>
      </c>
      <c r="B95" s="385"/>
      <c r="C95" s="385"/>
      <c r="D95" s="385"/>
      <c r="E95" s="385"/>
      <c r="F95" s="385"/>
      <c r="G95" s="15">
        <v>210</v>
      </c>
      <c r="H95" s="16"/>
      <c r="I95" s="73"/>
      <c r="J95" s="73"/>
      <c r="L95" s="2" t="s">
        <v>82</v>
      </c>
    </row>
    <row r="96" spans="1:12" s="2" customFormat="1" ht="14.25" customHeight="1">
      <c r="A96" s="385" t="s">
        <v>479</v>
      </c>
      <c r="B96" s="385"/>
      <c r="C96" s="385"/>
      <c r="D96" s="385"/>
      <c r="E96" s="385"/>
      <c r="F96" s="385"/>
      <c r="G96" s="15">
        <v>211</v>
      </c>
      <c r="H96" s="16"/>
      <c r="I96" s="73"/>
      <c r="J96" s="73"/>
      <c r="L96" s="2" t="s">
        <v>82</v>
      </c>
    </row>
    <row r="97" spans="1:12" s="2" customFormat="1" ht="14.25" customHeight="1">
      <c r="A97" s="385" t="s">
        <v>480</v>
      </c>
      <c r="B97" s="385"/>
      <c r="C97" s="385"/>
      <c r="D97" s="385"/>
      <c r="E97" s="385"/>
      <c r="F97" s="385"/>
      <c r="G97" s="15">
        <v>212</v>
      </c>
      <c r="H97" s="16"/>
      <c r="I97" s="73"/>
      <c r="J97" s="73"/>
      <c r="L97" s="2" t="s">
        <v>82</v>
      </c>
    </row>
    <row r="98" spans="1:12" s="2" customFormat="1" ht="14.25" customHeight="1">
      <c r="A98" s="409" t="s">
        <v>481</v>
      </c>
      <c r="B98" s="409"/>
      <c r="C98" s="409"/>
      <c r="D98" s="409"/>
      <c r="E98" s="409"/>
      <c r="F98" s="409"/>
      <c r="G98" s="15">
        <v>213</v>
      </c>
      <c r="H98" s="16"/>
      <c r="I98" s="82">
        <f>SUM(I99:I107)</f>
        <v>0</v>
      </c>
      <c r="J98" s="82">
        <f>SUM(J99:J107)</f>
        <v>0</v>
      </c>
      <c r="L98" s="2" t="s">
        <v>82</v>
      </c>
    </row>
    <row r="99" spans="1:12" s="2" customFormat="1" ht="14.25" customHeight="1">
      <c r="A99" s="385" t="s">
        <v>483</v>
      </c>
      <c r="B99" s="385"/>
      <c r="C99" s="385"/>
      <c r="D99" s="385"/>
      <c r="E99" s="385"/>
      <c r="F99" s="385"/>
      <c r="G99" s="15">
        <v>214</v>
      </c>
      <c r="H99" s="16"/>
      <c r="I99" s="73"/>
      <c r="J99" s="73"/>
      <c r="L99" s="2" t="s">
        <v>82</v>
      </c>
    </row>
    <row r="100" spans="1:12" s="2" customFormat="1" ht="24.75" customHeight="1">
      <c r="A100" s="385" t="s">
        <v>2229</v>
      </c>
      <c r="B100" s="385"/>
      <c r="C100" s="385"/>
      <c r="D100" s="385"/>
      <c r="E100" s="385"/>
      <c r="F100" s="385"/>
      <c r="G100" s="15">
        <v>215</v>
      </c>
      <c r="H100" s="16"/>
      <c r="I100" s="73"/>
      <c r="J100" s="73"/>
      <c r="L100" s="2" t="s">
        <v>82</v>
      </c>
    </row>
    <row r="101" spans="1:12" s="2" customFormat="1" ht="14.25" customHeight="1">
      <c r="A101" s="385" t="s">
        <v>2230</v>
      </c>
      <c r="B101" s="385"/>
      <c r="C101" s="385"/>
      <c r="D101" s="385"/>
      <c r="E101" s="385"/>
      <c r="F101" s="385"/>
      <c r="G101" s="15">
        <v>216</v>
      </c>
      <c r="H101" s="16"/>
      <c r="I101" s="73"/>
      <c r="J101" s="73"/>
      <c r="L101" s="2" t="s">
        <v>82</v>
      </c>
    </row>
    <row r="102" spans="1:12" s="2" customFormat="1" ht="14.25" customHeight="1">
      <c r="A102" s="385" t="s">
        <v>2231</v>
      </c>
      <c r="B102" s="385"/>
      <c r="C102" s="385"/>
      <c r="D102" s="385"/>
      <c r="E102" s="385"/>
      <c r="F102" s="385"/>
      <c r="G102" s="15">
        <v>217</v>
      </c>
      <c r="H102" s="16"/>
      <c r="I102" s="73"/>
      <c r="J102" s="73"/>
      <c r="L102" s="2" t="s">
        <v>82</v>
      </c>
    </row>
    <row r="103" spans="1:12" s="2" customFormat="1" ht="24.75" customHeight="1">
      <c r="A103" s="385" t="s">
        <v>2232</v>
      </c>
      <c r="B103" s="385"/>
      <c r="C103" s="385"/>
      <c r="D103" s="385"/>
      <c r="E103" s="385"/>
      <c r="F103" s="385"/>
      <c r="G103" s="15">
        <v>218</v>
      </c>
      <c r="H103" s="16"/>
      <c r="I103" s="73"/>
      <c r="J103" s="73"/>
      <c r="L103" s="2" t="s">
        <v>82</v>
      </c>
    </row>
    <row r="104" spans="1:12" s="2" customFormat="1" ht="14.25" customHeight="1">
      <c r="A104" s="385" t="s">
        <v>2233</v>
      </c>
      <c r="B104" s="385"/>
      <c r="C104" s="385"/>
      <c r="D104" s="385"/>
      <c r="E104" s="385"/>
      <c r="F104" s="385"/>
      <c r="G104" s="15">
        <v>219</v>
      </c>
      <c r="H104" s="16"/>
      <c r="I104" s="73"/>
      <c r="J104" s="73"/>
      <c r="L104" s="2" t="s">
        <v>82</v>
      </c>
    </row>
    <row r="105" spans="1:12" s="2" customFormat="1" ht="14.25" customHeight="1">
      <c r="A105" s="385" t="s">
        <v>2234</v>
      </c>
      <c r="B105" s="385"/>
      <c r="C105" s="385"/>
      <c r="D105" s="385"/>
      <c r="E105" s="385"/>
      <c r="F105" s="385"/>
      <c r="G105" s="15">
        <v>220</v>
      </c>
      <c r="H105" s="16"/>
      <c r="I105" s="73"/>
      <c r="J105" s="73"/>
      <c r="L105" s="2" t="s">
        <v>82</v>
      </c>
    </row>
    <row r="106" spans="1:12" s="2" customFormat="1" ht="14.25" customHeight="1">
      <c r="A106" s="385" t="s">
        <v>2235</v>
      </c>
      <c r="B106" s="385"/>
      <c r="C106" s="385"/>
      <c r="D106" s="385"/>
      <c r="E106" s="385"/>
      <c r="F106" s="385"/>
      <c r="G106" s="15">
        <v>221</v>
      </c>
      <c r="H106" s="16"/>
      <c r="I106" s="73"/>
      <c r="J106" s="73"/>
      <c r="L106" s="2" t="s">
        <v>82</v>
      </c>
    </row>
    <row r="107" spans="1:12" s="2" customFormat="1" ht="24.75" customHeight="1">
      <c r="A107" s="385" t="s">
        <v>2236</v>
      </c>
      <c r="B107" s="385"/>
      <c r="C107" s="385"/>
      <c r="D107" s="385"/>
      <c r="E107" s="385"/>
      <c r="F107" s="385"/>
      <c r="G107" s="15">
        <v>222</v>
      </c>
      <c r="H107" s="16"/>
      <c r="I107" s="73"/>
      <c r="J107" s="73"/>
      <c r="L107" s="2" t="s">
        <v>82</v>
      </c>
    </row>
    <row r="108" spans="1:12" s="2" customFormat="1" ht="14.25" customHeight="1">
      <c r="A108" s="409" t="s">
        <v>2237</v>
      </c>
      <c r="B108" s="409"/>
      <c r="C108" s="409"/>
      <c r="D108" s="409"/>
      <c r="E108" s="409"/>
      <c r="F108" s="409"/>
      <c r="G108" s="15">
        <v>223</v>
      </c>
      <c r="H108" s="16"/>
      <c r="I108" s="82">
        <f>I91+I98</f>
        <v>0</v>
      </c>
      <c r="J108" s="82">
        <f>J91+J98</f>
        <v>0</v>
      </c>
      <c r="L108" s="2" t="s">
        <v>82</v>
      </c>
    </row>
    <row r="109" spans="1:12" s="2" customFormat="1" ht="14.25" customHeight="1">
      <c r="A109" s="410" t="s">
        <v>2239</v>
      </c>
      <c r="B109" s="410"/>
      <c r="C109" s="410"/>
      <c r="D109" s="410"/>
      <c r="E109" s="410"/>
      <c r="F109" s="410"/>
      <c r="G109" s="17">
        <v>224</v>
      </c>
      <c r="H109" s="18"/>
      <c r="I109" s="83">
        <f>I89+I108</f>
        <v>0</v>
      </c>
      <c r="J109" s="83">
        <f>J89+J108</f>
        <v>0</v>
      </c>
      <c r="L109" s="2" t="s">
        <v>82</v>
      </c>
    </row>
    <row r="110" spans="1:10" s="2" customFormat="1" ht="14.25" customHeight="1">
      <c r="A110" s="404" t="s">
        <v>806</v>
      </c>
      <c r="B110" s="404"/>
      <c r="C110" s="404"/>
      <c r="D110" s="404"/>
      <c r="E110" s="404"/>
      <c r="F110" s="404"/>
      <c r="G110" s="412"/>
      <c r="H110" s="412"/>
      <c r="I110" s="412"/>
      <c r="J110" s="412"/>
    </row>
    <row r="111" spans="1:12" s="2" customFormat="1" ht="14.25" customHeight="1">
      <c r="A111" s="411" t="s">
        <v>2238</v>
      </c>
      <c r="B111" s="411"/>
      <c r="C111" s="411"/>
      <c r="D111" s="411"/>
      <c r="E111" s="411"/>
      <c r="F111" s="411"/>
      <c r="G111" s="15">
        <v>225</v>
      </c>
      <c r="H111" s="16"/>
      <c r="I111" s="82">
        <f>SUM(I112:I113)</f>
        <v>0</v>
      </c>
      <c r="J111" s="82">
        <f>SUM(J112:J113)</f>
        <v>0</v>
      </c>
      <c r="L111" s="2" t="s">
        <v>82</v>
      </c>
    </row>
    <row r="112" spans="1:12" s="2" customFormat="1" ht="14.25" customHeight="1">
      <c r="A112" s="407" t="s">
        <v>112</v>
      </c>
      <c r="B112" s="407"/>
      <c r="C112" s="407"/>
      <c r="D112" s="407"/>
      <c r="E112" s="407"/>
      <c r="F112" s="407"/>
      <c r="G112" s="15">
        <v>226</v>
      </c>
      <c r="H112" s="16"/>
      <c r="I112" s="73"/>
      <c r="J112" s="73"/>
      <c r="L112" s="2" t="s">
        <v>82</v>
      </c>
    </row>
    <row r="113" spans="1:12" s="2" customFormat="1" ht="14.25" customHeight="1">
      <c r="A113" s="408" t="s">
        <v>1778</v>
      </c>
      <c r="B113" s="408"/>
      <c r="C113" s="408"/>
      <c r="D113" s="408"/>
      <c r="E113" s="408"/>
      <c r="F113" s="408"/>
      <c r="G113" s="17">
        <v>227</v>
      </c>
      <c r="H113" s="18"/>
      <c r="I113" s="74"/>
      <c r="J113" s="74"/>
      <c r="L113" s="2" t="s">
        <v>82</v>
      </c>
    </row>
    <row r="114" ht="4.5" customHeight="1"/>
  </sheetData>
  <sheetProtection password="C79A" sheet="1" objects="1" scenarios="1"/>
  <mergeCells count="112">
    <mergeCell ref="A77:F77"/>
    <mergeCell ref="A78:F78"/>
    <mergeCell ref="A79:F79"/>
    <mergeCell ref="A85:F85"/>
    <mergeCell ref="A84:J84"/>
    <mergeCell ref="A92:F92"/>
    <mergeCell ref="A90:F90"/>
    <mergeCell ref="A91:F91"/>
    <mergeCell ref="A98:F98"/>
    <mergeCell ref="A99:F99"/>
    <mergeCell ref="A100:F100"/>
    <mergeCell ref="A101:F101"/>
    <mergeCell ref="A93:F93"/>
    <mergeCell ref="A86:F86"/>
    <mergeCell ref="A106:F106"/>
    <mergeCell ref="A80:F80"/>
    <mergeCell ref="A82:F82"/>
    <mergeCell ref="A83:F83"/>
    <mergeCell ref="A81:F81"/>
    <mergeCell ref="A89:F89"/>
    <mergeCell ref="A94:F94"/>
    <mergeCell ref="A95:F95"/>
    <mergeCell ref="A96:F96"/>
    <mergeCell ref="A97:F97"/>
    <mergeCell ref="A72:F72"/>
    <mergeCell ref="A68:F68"/>
    <mergeCell ref="A73:F73"/>
    <mergeCell ref="A69:J69"/>
    <mergeCell ref="A76:J76"/>
    <mergeCell ref="A74:F74"/>
    <mergeCell ref="A75:F75"/>
    <mergeCell ref="A70:F70"/>
    <mergeCell ref="A71:F71"/>
    <mergeCell ref="A12:F12"/>
    <mergeCell ref="A10:F10"/>
    <mergeCell ref="A14:F14"/>
    <mergeCell ref="A15:F15"/>
    <mergeCell ref="A13:F13"/>
    <mergeCell ref="A55:F55"/>
    <mergeCell ref="A20:F20"/>
    <mergeCell ref="A39:F39"/>
    <mergeCell ref="A40:F40"/>
    <mergeCell ref="A34:F34"/>
    <mergeCell ref="A67:F67"/>
    <mergeCell ref="A65:F65"/>
    <mergeCell ref="A66:F66"/>
    <mergeCell ref="A16:F16"/>
    <mergeCell ref="A28:F28"/>
    <mergeCell ref="A17:F17"/>
    <mergeCell ref="A21:F21"/>
    <mergeCell ref="A29:F29"/>
    <mergeCell ref="A36:F36"/>
    <mergeCell ref="A56:F56"/>
    <mergeCell ref="A5:J5"/>
    <mergeCell ref="A6:F6"/>
    <mergeCell ref="A2:I2"/>
    <mergeCell ref="A3:I3"/>
    <mergeCell ref="J2:J3"/>
    <mergeCell ref="A7:F7"/>
    <mergeCell ref="A9:F9"/>
    <mergeCell ref="A8:F8"/>
    <mergeCell ref="A11:F11"/>
    <mergeCell ref="A88:J88"/>
    <mergeCell ref="A18:F18"/>
    <mergeCell ref="A19:F19"/>
    <mergeCell ref="A26:F26"/>
    <mergeCell ref="A27:F27"/>
    <mergeCell ref="A24:F24"/>
    <mergeCell ref="A25:F25"/>
    <mergeCell ref="A35:F35"/>
    <mergeCell ref="A38:F38"/>
    <mergeCell ref="A37:F37"/>
    <mergeCell ref="A32:F32"/>
    <mergeCell ref="A33:F33"/>
    <mergeCell ref="A30:F30"/>
    <mergeCell ref="A22:F22"/>
    <mergeCell ref="A23:F23"/>
    <mergeCell ref="A64:F64"/>
    <mergeCell ref="A31:F31"/>
    <mergeCell ref="A63:F63"/>
    <mergeCell ref="A52:F52"/>
    <mergeCell ref="A53:F53"/>
    <mergeCell ref="A54:F54"/>
    <mergeCell ref="A48:F48"/>
    <mergeCell ref="A46:F46"/>
    <mergeCell ref="A57:F57"/>
    <mergeCell ref="A58:F58"/>
    <mergeCell ref="A59:F59"/>
    <mergeCell ref="A60:F60"/>
    <mergeCell ref="A49:F49"/>
    <mergeCell ref="A62:F62"/>
    <mergeCell ref="A61:F61"/>
    <mergeCell ref="A110:J110"/>
    <mergeCell ref="A45:F45"/>
    <mergeCell ref="A42:F42"/>
    <mergeCell ref="A43:F43"/>
    <mergeCell ref="A41:F41"/>
    <mergeCell ref="A44:F44"/>
    <mergeCell ref="A47:F47"/>
    <mergeCell ref="A87:F87"/>
    <mergeCell ref="A50:F50"/>
    <mergeCell ref="A51:F51"/>
    <mergeCell ref="A102:F102"/>
    <mergeCell ref="A103:F103"/>
    <mergeCell ref="A104:F104"/>
    <mergeCell ref="A105:F105"/>
    <mergeCell ref="A112:F112"/>
    <mergeCell ref="A113:F113"/>
    <mergeCell ref="A107:F107"/>
    <mergeCell ref="A108:F108"/>
    <mergeCell ref="A109:F109"/>
    <mergeCell ref="A111:F11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3" activePane="bottomLeft" state="frozen"/>
      <selection pane="topLeft" activeCell="A1" sqref="A1"/>
      <selection pane="bottomLeft" activeCell="J26" sqref="J2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37" t="s">
        <v>2715</v>
      </c>
      <c r="B2" s="438"/>
      <c r="C2" s="438"/>
      <c r="D2" s="438"/>
      <c r="E2" s="438"/>
      <c r="F2" s="438"/>
      <c r="G2" s="438"/>
      <c r="H2" s="438"/>
      <c r="I2" s="439"/>
      <c r="J2" s="389" t="s">
        <v>84</v>
      </c>
      <c r="Q2" s="70">
        <f>IF(MAX(I9:I88)&gt;0,1,0)</f>
        <v>1</v>
      </c>
      <c r="R2" s="69" t="s">
        <v>77</v>
      </c>
    </row>
    <row r="3" spans="1:18" s="2" customFormat="1" ht="19.5" customHeight="1" thickBot="1">
      <c r="A3" s="440" t="str">
        <f>"za razdoblje "&amp;IF(RefStr!C4&lt;&gt;"",TEXT(RefStr!C4,"DD.MM.YYYY."),"__.__.____.")&amp;" do "&amp;IF(RefStr!F4&lt;&gt;"",TEXT(RefStr!F4,"DD.MM.YYYY."),"__.__.____.")</f>
        <v>za razdoblje 01.01.2021. do 31.12.2021.</v>
      </c>
      <c r="B3" s="441"/>
      <c r="C3" s="441"/>
      <c r="D3" s="441"/>
      <c r="E3" s="441"/>
      <c r="F3" s="441"/>
      <c r="G3" s="441"/>
      <c r="H3" s="441"/>
      <c r="I3" s="442"/>
      <c r="J3" s="443"/>
      <c r="Q3" s="70">
        <f>IF(MAX(J9:J88)&gt;0,1,0)</f>
        <v>1</v>
      </c>
      <c r="R3" s="69" t="s">
        <v>78</v>
      </c>
    </row>
    <row r="4" spans="1:10" s="2" customFormat="1" ht="4.5" customHeight="1">
      <c r="A4" s="112"/>
      <c r="B4" s="85"/>
      <c r="C4" s="85"/>
      <c r="D4" s="85"/>
      <c r="E4" s="85"/>
      <c r="F4" s="85"/>
      <c r="G4" s="85"/>
      <c r="H4" s="85"/>
      <c r="I4" s="86"/>
      <c r="J4" s="87"/>
    </row>
    <row r="5" spans="1:10" s="2" customFormat="1" ht="15" customHeight="1">
      <c r="A5" s="447" t="str">
        <f>"Obveznik: "&amp;IF(RefStr!C27&lt;&gt;"",RefStr!C27,"________")&amp;"; "&amp;IF(RefStr!C29&lt;&gt;"",RefStr!C29,"________________________________________________________"&amp;"; "&amp;IF(RefStr!F31&lt;&gt;"",RefStr!F31,"_______________"))</f>
        <v>Obveznik: 92143159456; PONIKVE USLUGA d.o.o.</v>
      </c>
      <c r="B5" s="448"/>
      <c r="C5" s="448"/>
      <c r="D5" s="448"/>
      <c r="E5" s="448"/>
      <c r="F5" s="448"/>
      <c r="G5" s="448"/>
      <c r="H5" s="448"/>
      <c r="I5" s="448"/>
      <c r="J5" s="449"/>
    </row>
    <row r="6" spans="1:10" s="2" customFormat="1" ht="24.75" customHeight="1" thickBot="1">
      <c r="A6" s="450" t="s">
        <v>2849</v>
      </c>
      <c r="B6" s="451"/>
      <c r="C6" s="451"/>
      <c r="D6" s="451"/>
      <c r="E6" s="451"/>
      <c r="F6" s="451"/>
      <c r="G6" s="452"/>
      <c r="H6" s="103" t="s">
        <v>1309</v>
      </c>
      <c r="I6" s="103" t="s">
        <v>1900</v>
      </c>
      <c r="J6" s="104" t="s">
        <v>1901</v>
      </c>
    </row>
    <row r="7" spans="1:10" s="2" customFormat="1" ht="12">
      <c r="A7" s="444">
        <v>1</v>
      </c>
      <c r="B7" s="445"/>
      <c r="C7" s="445"/>
      <c r="D7" s="445"/>
      <c r="E7" s="445"/>
      <c r="F7" s="445"/>
      <c r="G7" s="446"/>
      <c r="H7" s="107">
        <v>2</v>
      </c>
      <c r="I7" s="106">
        <v>3</v>
      </c>
      <c r="J7" s="108">
        <v>4</v>
      </c>
    </row>
    <row r="8" spans="1:10" s="2" customFormat="1" ht="13.5" customHeight="1">
      <c r="A8" s="427" t="s">
        <v>2904</v>
      </c>
      <c r="B8" s="428"/>
      <c r="C8" s="428"/>
      <c r="D8" s="428"/>
      <c r="E8" s="428"/>
      <c r="F8" s="428"/>
      <c r="G8" s="428"/>
      <c r="H8" s="428"/>
      <c r="I8" s="428"/>
      <c r="J8" s="429"/>
    </row>
    <row r="9" spans="1:10" s="2" customFormat="1" ht="13.5" customHeight="1">
      <c r="A9" s="430" t="s">
        <v>2903</v>
      </c>
      <c r="B9" s="430"/>
      <c r="C9" s="430"/>
      <c r="D9" s="430"/>
      <c r="E9" s="430"/>
      <c r="F9" s="430"/>
      <c r="G9" s="431"/>
      <c r="H9" s="88">
        <v>228</v>
      </c>
      <c r="I9" s="89"/>
      <c r="J9" s="89"/>
    </row>
    <row r="10" spans="1:10" s="2" customFormat="1" ht="13.5" customHeight="1">
      <c r="A10" s="413" t="s">
        <v>2902</v>
      </c>
      <c r="B10" s="413"/>
      <c r="C10" s="413"/>
      <c r="D10" s="413"/>
      <c r="E10" s="413"/>
      <c r="F10" s="413"/>
      <c r="G10" s="413"/>
      <c r="H10" s="15">
        <v>229</v>
      </c>
      <c r="I10" s="73"/>
      <c r="J10" s="73"/>
    </row>
    <row r="11" spans="1:10" s="2" customFormat="1" ht="13.5" customHeight="1">
      <c r="A11" s="413" t="s">
        <v>1282</v>
      </c>
      <c r="B11" s="413"/>
      <c r="C11" s="413"/>
      <c r="D11" s="413"/>
      <c r="E11" s="413"/>
      <c r="F11" s="413"/>
      <c r="G11" s="413"/>
      <c r="H11" s="15">
        <v>230</v>
      </c>
      <c r="I11" s="73"/>
      <c r="J11" s="73"/>
    </row>
    <row r="12" spans="1:10" s="2" customFormat="1" ht="13.5" customHeight="1">
      <c r="A12" s="413" t="s">
        <v>1281</v>
      </c>
      <c r="B12" s="413"/>
      <c r="C12" s="413"/>
      <c r="D12" s="413"/>
      <c r="E12" s="413"/>
      <c r="F12" s="413"/>
      <c r="G12" s="413"/>
      <c r="H12" s="15">
        <v>231</v>
      </c>
      <c r="I12" s="73"/>
      <c r="J12" s="73"/>
    </row>
    <row r="13" spans="1:10" s="2" customFormat="1" ht="13.5" customHeight="1">
      <c r="A13" s="413" t="s">
        <v>1280</v>
      </c>
      <c r="B13" s="413"/>
      <c r="C13" s="413"/>
      <c r="D13" s="413"/>
      <c r="E13" s="413"/>
      <c r="F13" s="413"/>
      <c r="G13" s="413"/>
      <c r="H13" s="15">
        <v>232</v>
      </c>
      <c r="I13" s="73"/>
      <c r="J13" s="73"/>
    </row>
    <row r="14" spans="1:10" s="2" customFormat="1" ht="13.5" customHeight="1">
      <c r="A14" s="413" t="s">
        <v>1279</v>
      </c>
      <c r="B14" s="413"/>
      <c r="C14" s="413"/>
      <c r="D14" s="413"/>
      <c r="E14" s="413"/>
      <c r="F14" s="413"/>
      <c r="G14" s="413"/>
      <c r="H14" s="15">
        <v>233</v>
      </c>
      <c r="I14" s="73"/>
      <c r="J14" s="73"/>
    </row>
    <row r="15" spans="1:10" s="2" customFormat="1" ht="13.5" customHeight="1">
      <c r="A15" s="425" t="s">
        <v>1278</v>
      </c>
      <c r="B15" s="425"/>
      <c r="C15" s="425"/>
      <c r="D15" s="425"/>
      <c r="E15" s="425"/>
      <c r="F15" s="425"/>
      <c r="G15" s="425"/>
      <c r="H15" s="17">
        <v>234</v>
      </c>
      <c r="I15" s="74"/>
      <c r="J15" s="74"/>
    </row>
    <row r="16" spans="1:10" s="2" customFormat="1" ht="13.5" customHeight="1">
      <c r="A16" s="427" t="s">
        <v>2905</v>
      </c>
      <c r="B16" s="428"/>
      <c r="C16" s="428"/>
      <c r="D16" s="428"/>
      <c r="E16" s="428"/>
      <c r="F16" s="428"/>
      <c r="G16" s="428"/>
      <c r="H16" s="428"/>
      <c r="I16" s="428"/>
      <c r="J16" s="429"/>
    </row>
    <row r="17" spans="1:10" s="2" customFormat="1" ht="13.5" customHeight="1">
      <c r="A17" s="430" t="s">
        <v>1276</v>
      </c>
      <c r="B17" s="430"/>
      <c r="C17" s="430"/>
      <c r="D17" s="430"/>
      <c r="E17" s="430"/>
      <c r="F17" s="430"/>
      <c r="G17" s="431"/>
      <c r="H17" s="88">
        <v>235</v>
      </c>
      <c r="I17" s="90"/>
      <c r="J17" s="90"/>
    </row>
    <row r="18" spans="1:10" s="2" customFormat="1" ht="13.5" customHeight="1">
      <c r="A18" s="413" t="s">
        <v>1277</v>
      </c>
      <c r="B18" s="413"/>
      <c r="C18" s="413"/>
      <c r="D18" s="413"/>
      <c r="E18" s="413"/>
      <c r="F18" s="413"/>
      <c r="G18" s="426"/>
      <c r="H18" s="15">
        <v>236</v>
      </c>
      <c r="I18" s="73"/>
      <c r="J18" s="73"/>
    </row>
    <row r="19" spans="1:10" s="2" customFormat="1" ht="13.5" customHeight="1">
      <c r="A19" s="413" t="s">
        <v>1273</v>
      </c>
      <c r="B19" s="413"/>
      <c r="C19" s="413"/>
      <c r="D19" s="413"/>
      <c r="E19" s="413"/>
      <c r="F19" s="413"/>
      <c r="G19" s="426"/>
      <c r="H19" s="15">
        <v>237</v>
      </c>
      <c r="I19" s="73"/>
      <c r="J19" s="73"/>
    </row>
    <row r="20" spans="1:10" s="2" customFormat="1" ht="13.5" customHeight="1">
      <c r="A20" s="413" t="s">
        <v>1274</v>
      </c>
      <c r="B20" s="413"/>
      <c r="C20" s="413"/>
      <c r="D20" s="413"/>
      <c r="E20" s="413"/>
      <c r="F20" s="413"/>
      <c r="G20" s="426"/>
      <c r="H20" s="15">
        <v>238</v>
      </c>
      <c r="I20" s="73"/>
      <c r="J20" s="73"/>
    </row>
    <row r="21" spans="1:10" s="2" customFormat="1" ht="13.5" customHeight="1">
      <c r="A21" s="425" t="s">
        <v>1275</v>
      </c>
      <c r="B21" s="425"/>
      <c r="C21" s="425"/>
      <c r="D21" s="425"/>
      <c r="E21" s="425"/>
      <c r="F21" s="425"/>
      <c r="G21" s="434"/>
      <c r="H21" s="17">
        <v>239</v>
      </c>
      <c r="I21" s="74"/>
      <c r="J21" s="74"/>
    </row>
    <row r="22" spans="1:10" s="2" customFormat="1" ht="13.5" customHeight="1">
      <c r="A22" s="427" t="s">
        <v>2906</v>
      </c>
      <c r="B22" s="428"/>
      <c r="C22" s="428"/>
      <c r="D22" s="428"/>
      <c r="E22" s="428"/>
      <c r="F22" s="428"/>
      <c r="G22" s="428"/>
      <c r="H22" s="428"/>
      <c r="I22" s="428"/>
      <c r="J22" s="429"/>
    </row>
    <row r="23" spans="1:10" s="2" customFormat="1" ht="13.5" customHeight="1">
      <c r="A23" s="432" t="s">
        <v>1513</v>
      </c>
      <c r="B23" s="432"/>
      <c r="C23" s="432"/>
      <c r="D23" s="432"/>
      <c r="E23" s="432"/>
      <c r="F23" s="432"/>
      <c r="G23" s="433"/>
      <c r="H23" s="91">
        <v>240</v>
      </c>
      <c r="I23" s="92"/>
      <c r="J23" s="92"/>
    </row>
    <row r="24" spans="1:10" s="2" customFormat="1" ht="13.5" customHeight="1">
      <c r="A24" s="427" t="s">
        <v>2907</v>
      </c>
      <c r="B24" s="428"/>
      <c r="C24" s="428"/>
      <c r="D24" s="428"/>
      <c r="E24" s="428"/>
      <c r="F24" s="428"/>
      <c r="G24" s="428"/>
      <c r="H24" s="428"/>
      <c r="I24" s="428"/>
      <c r="J24" s="429"/>
    </row>
    <row r="25" spans="1:10" s="2" customFormat="1" ht="13.5" customHeight="1">
      <c r="A25" s="430" t="s">
        <v>1514</v>
      </c>
      <c r="B25" s="430"/>
      <c r="C25" s="430"/>
      <c r="D25" s="430"/>
      <c r="E25" s="430"/>
      <c r="F25" s="430"/>
      <c r="G25" s="431"/>
      <c r="H25" s="88">
        <v>241</v>
      </c>
      <c r="I25" s="90">
        <v>5675152</v>
      </c>
      <c r="J25" s="90">
        <v>5618328</v>
      </c>
    </row>
    <row r="26" spans="1:10" s="2" customFormat="1" ht="24.75" customHeight="1">
      <c r="A26" s="413" t="s">
        <v>1009</v>
      </c>
      <c r="B26" s="413"/>
      <c r="C26" s="413"/>
      <c r="D26" s="413"/>
      <c r="E26" s="413"/>
      <c r="F26" s="413"/>
      <c r="G26" s="426"/>
      <c r="H26" s="15">
        <v>242</v>
      </c>
      <c r="I26" s="73"/>
      <c r="J26" s="73"/>
    </row>
    <row r="27" spans="1:10" s="2" customFormat="1" ht="13.5" customHeight="1">
      <c r="A27" s="413" t="s">
        <v>2908</v>
      </c>
      <c r="B27" s="413"/>
      <c r="C27" s="413"/>
      <c r="D27" s="413"/>
      <c r="E27" s="413"/>
      <c r="F27" s="413"/>
      <c r="G27" s="426"/>
      <c r="H27" s="15">
        <v>243</v>
      </c>
      <c r="I27" s="73"/>
      <c r="J27" s="73"/>
    </row>
    <row r="28" spans="1:10" s="2" customFormat="1" ht="13.5" customHeight="1">
      <c r="A28" s="413" t="s">
        <v>2909</v>
      </c>
      <c r="B28" s="413"/>
      <c r="C28" s="413"/>
      <c r="D28" s="413"/>
      <c r="E28" s="413"/>
      <c r="F28" s="413"/>
      <c r="G28" s="426"/>
      <c r="H28" s="15">
        <v>244</v>
      </c>
      <c r="I28" s="73"/>
      <c r="J28" s="73"/>
    </row>
    <row r="29" spans="1:10" s="2" customFormat="1" ht="13.5" customHeight="1">
      <c r="A29" s="413" t="s">
        <v>2910</v>
      </c>
      <c r="B29" s="413"/>
      <c r="C29" s="413"/>
      <c r="D29" s="413"/>
      <c r="E29" s="413"/>
      <c r="F29" s="413"/>
      <c r="G29" s="426"/>
      <c r="H29" s="15">
        <v>245</v>
      </c>
      <c r="I29" s="73"/>
      <c r="J29" s="73"/>
    </row>
    <row r="30" spans="1:10" s="2" customFormat="1" ht="13.5" customHeight="1">
      <c r="A30" s="413" t="s">
        <v>2911</v>
      </c>
      <c r="B30" s="413"/>
      <c r="C30" s="413"/>
      <c r="D30" s="413"/>
      <c r="E30" s="413"/>
      <c r="F30" s="413"/>
      <c r="G30" s="426"/>
      <c r="H30" s="15">
        <v>246</v>
      </c>
      <c r="I30" s="73"/>
      <c r="J30" s="73"/>
    </row>
    <row r="31" spans="1:10" s="2" customFormat="1" ht="13.5" customHeight="1">
      <c r="A31" s="413" t="s">
        <v>2912</v>
      </c>
      <c r="B31" s="413"/>
      <c r="C31" s="413"/>
      <c r="D31" s="413"/>
      <c r="E31" s="413"/>
      <c r="F31" s="413"/>
      <c r="G31" s="426"/>
      <c r="H31" s="15">
        <v>247</v>
      </c>
      <c r="I31" s="73"/>
      <c r="J31" s="73"/>
    </row>
    <row r="32" spans="1:10" s="2" customFormat="1" ht="13.5" customHeight="1">
      <c r="A32" s="413" t="s">
        <v>2913</v>
      </c>
      <c r="B32" s="413"/>
      <c r="C32" s="413"/>
      <c r="D32" s="413"/>
      <c r="E32" s="413"/>
      <c r="F32" s="413"/>
      <c r="G32" s="426"/>
      <c r="H32" s="15">
        <v>248</v>
      </c>
      <c r="I32" s="73"/>
      <c r="J32" s="73"/>
    </row>
    <row r="33" spans="1:10" s="2" customFormat="1" ht="24.75" customHeight="1">
      <c r="A33" s="413" t="s">
        <v>1010</v>
      </c>
      <c r="B33" s="413"/>
      <c r="C33" s="413"/>
      <c r="D33" s="413"/>
      <c r="E33" s="413"/>
      <c r="F33" s="413"/>
      <c r="G33" s="426"/>
      <c r="H33" s="15">
        <v>249</v>
      </c>
      <c r="I33" s="73"/>
      <c r="J33" s="73"/>
    </row>
    <row r="34" spans="1:10" s="2" customFormat="1" ht="36" customHeight="1">
      <c r="A34" s="413" t="s">
        <v>1011</v>
      </c>
      <c r="B34" s="413"/>
      <c r="C34" s="413"/>
      <c r="D34" s="413"/>
      <c r="E34" s="413"/>
      <c r="F34" s="413"/>
      <c r="G34" s="426"/>
      <c r="H34" s="15">
        <v>250</v>
      </c>
      <c r="I34" s="73"/>
      <c r="J34" s="73"/>
    </row>
    <row r="35" spans="1:10" s="2" customFormat="1" ht="36" customHeight="1">
      <c r="A35" s="425" t="s">
        <v>2914</v>
      </c>
      <c r="B35" s="425"/>
      <c r="C35" s="425"/>
      <c r="D35" s="425"/>
      <c r="E35" s="425"/>
      <c r="F35" s="425"/>
      <c r="G35" s="434"/>
      <c r="H35" s="17">
        <v>251</v>
      </c>
      <c r="I35" s="74"/>
      <c r="J35" s="74"/>
    </row>
    <row r="36" spans="1:10" s="2" customFormat="1" ht="13.5" customHeight="1">
      <c r="A36" s="427" t="s">
        <v>2915</v>
      </c>
      <c r="B36" s="428"/>
      <c r="C36" s="428"/>
      <c r="D36" s="428"/>
      <c r="E36" s="428"/>
      <c r="F36" s="428"/>
      <c r="G36" s="428"/>
      <c r="H36" s="428"/>
      <c r="I36" s="428"/>
      <c r="J36" s="429"/>
    </row>
    <row r="37" spans="1:10" s="2" customFormat="1" ht="13.5" customHeight="1">
      <c r="A37" s="430" t="s">
        <v>1954</v>
      </c>
      <c r="B37" s="430"/>
      <c r="C37" s="430"/>
      <c r="D37" s="430"/>
      <c r="E37" s="430"/>
      <c r="F37" s="430"/>
      <c r="G37" s="431"/>
      <c r="H37" s="88">
        <v>252</v>
      </c>
      <c r="I37" s="90">
        <v>5675152</v>
      </c>
      <c r="J37" s="90">
        <v>5618328</v>
      </c>
    </row>
    <row r="38" spans="1:10" s="2" customFormat="1" ht="13.5" customHeight="1">
      <c r="A38" s="425" t="s">
        <v>802</v>
      </c>
      <c r="B38" s="425"/>
      <c r="C38" s="425"/>
      <c r="D38" s="425"/>
      <c r="E38" s="425"/>
      <c r="F38" s="425"/>
      <c r="G38" s="434"/>
      <c r="H38" s="17">
        <v>253</v>
      </c>
      <c r="I38" s="74"/>
      <c r="J38" s="74"/>
    </row>
    <row r="39" spans="1:10" s="2" customFormat="1" ht="13.5" customHeight="1">
      <c r="A39" s="427" t="s">
        <v>2916</v>
      </c>
      <c r="B39" s="428"/>
      <c r="C39" s="428"/>
      <c r="D39" s="428"/>
      <c r="E39" s="428"/>
      <c r="F39" s="428"/>
      <c r="G39" s="428"/>
      <c r="H39" s="428"/>
      <c r="I39" s="428"/>
      <c r="J39" s="429"/>
    </row>
    <row r="40" spans="1:10" s="2" customFormat="1" ht="13.5" customHeight="1">
      <c r="A40" s="432" t="s">
        <v>1515</v>
      </c>
      <c r="B40" s="432"/>
      <c r="C40" s="432"/>
      <c r="D40" s="432"/>
      <c r="E40" s="432"/>
      <c r="F40" s="432"/>
      <c r="G40" s="433"/>
      <c r="H40" s="91">
        <v>254</v>
      </c>
      <c r="I40" s="92"/>
      <c r="J40" s="92"/>
    </row>
    <row r="41" spans="1:10" s="2" customFormat="1" ht="13.5" customHeight="1">
      <c r="A41" s="427" t="s">
        <v>2917</v>
      </c>
      <c r="B41" s="428"/>
      <c r="C41" s="428"/>
      <c r="D41" s="428"/>
      <c r="E41" s="428"/>
      <c r="F41" s="428"/>
      <c r="G41" s="428"/>
      <c r="H41" s="428"/>
      <c r="I41" s="428"/>
      <c r="J41" s="429"/>
    </row>
    <row r="42" spans="1:10" s="2" customFormat="1" ht="24.75" customHeight="1">
      <c r="A42" s="430" t="s">
        <v>1012</v>
      </c>
      <c r="B42" s="430"/>
      <c r="C42" s="430"/>
      <c r="D42" s="430"/>
      <c r="E42" s="430"/>
      <c r="F42" s="430"/>
      <c r="G42" s="431"/>
      <c r="H42" s="88">
        <v>255</v>
      </c>
      <c r="I42" s="90"/>
      <c r="J42" s="90"/>
    </row>
    <row r="43" spans="1:10" s="2" customFormat="1" ht="13.5" customHeight="1">
      <c r="A43" s="413" t="s">
        <v>2918</v>
      </c>
      <c r="B43" s="413"/>
      <c r="C43" s="413"/>
      <c r="D43" s="413"/>
      <c r="E43" s="413"/>
      <c r="F43" s="413"/>
      <c r="G43" s="426"/>
      <c r="H43" s="15">
        <v>256</v>
      </c>
      <c r="I43" s="73"/>
      <c r="J43" s="73"/>
    </row>
    <row r="44" spans="1:10" s="2" customFormat="1" ht="13.5" customHeight="1">
      <c r="A44" s="435" t="s">
        <v>2921</v>
      </c>
      <c r="B44" s="435"/>
      <c r="C44" s="435"/>
      <c r="D44" s="435"/>
      <c r="E44" s="435"/>
      <c r="F44" s="435"/>
      <c r="G44" s="436"/>
      <c r="H44" s="15">
        <v>257</v>
      </c>
      <c r="I44" s="73"/>
      <c r="J44" s="73"/>
    </row>
    <row r="45" spans="1:10" s="2" customFormat="1" ht="13.5" customHeight="1">
      <c r="A45" s="413" t="s">
        <v>2919</v>
      </c>
      <c r="B45" s="413"/>
      <c r="C45" s="413"/>
      <c r="D45" s="413"/>
      <c r="E45" s="413"/>
      <c r="F45" s="413"/>
      <c r="G45" s="426"/>
      <c r="H45" s="15">
        <v>258</v>
      </c>
      <c r="I45" s="73"/>
      <c r="J45" s="73"/>
    </row>
    <row r="46" spans="1:10" s="2" customFormat="1" ht="24.75" customHeight="1">
      <c r="A46" s="413" t="s">
        <v>2922</v>
      </c>
      <c r="B46" s="413"/>
      <c r="C46" s="413"/>
      <c r="D46" s="413"/>
      <c r="E46" s="413"/>
      <c r="F46" s="413"/>
      <c r="G46" s="426"/>
      <c r="H46" s="15">
        <v>259</v>
      </c>
      <c r="I46" s="73"/>
      <c r="J46" s="73"/>
    </row>
    <row r="47" spans="1:10" s="2" customFormat="1" ht="13.5" customHeight="1">
      <c r="A47" s="425" t="s">
        <v>2920</v>
      </c>
      <c r="B47" s="425"/>
      <c r="C47" s="425"/>
      <c r="D47" s="425"/>
      <c r="E47" s="425"/>
      <c r="F47" s="425"/>
      <c r="G47" s="434"/>
      <c r="H47" s="17">
        <v>260</v>
      </c>
      <c r="I47" s="74"/>
      <c r="J47" s="74"/>
    </row>
    <row r="48" spans="1:10" s="2" customFormat="1" ht="13.5" customHeight="1">
      <c r="A48" s="427" t="s">
        <v>2923</v>
      </c>
      <c r="B48" s="428"/>
      <c r="C48" s="428"/>
      <c r="D48" s="428"/>
      <c r="E48" s="428"/>
      <c r="F48" s="428"/>
      <c r="G48" s="428"/>
      <c r="H48" s="428"/>
      <c r="I48" s="428"/>
      <c r="J48" s="429"/>
    </row>
    <row r="49" spans="1:10" s="2" customFormat="1" ht="13.5" customHeight="1">
      <c r="A49" s="430" t="s">
        <v>2925</v>
      </c>
      <c r="B49" s="430"/>
      <c r="C49" s="430"/>
      <c r="D49" s="430"/>
      <c r="E49" s="430"/>
      <c r="F49" s="430"/>
      <c r="G49" s="431"/>
      <c r="H49" s="88">
        <v>261</v>
      </c>
      <c r="I49" s="90"/>
      <c r="J49" s="90"/>
    </row>
    <row r="50" spans="1:10" s="2" customFormat="1" ht="13.5" customHeight="1">
      <c r="A50" s="413" t="s">
        <v>2926</v>
      </c>
      <c r="B50" s="413"/>
      <c r="C50" s="413"/>
      <c r="D50" s="413"/>
      <c r="E50" s="413"/>
      <c r="F50" s="413"/>
      <c r="G50" s="426"/>
      <c r="H50" s="15">
        <v>262</v>
      </c>
      <c r="I50" s="73">
        <v>204271</v>
      </c>
      <c r="J50" s="73">
        <v>237584</v>
      </c>
    </row>
    <row r="51" spans="1:10" s="2" customFormat="1" ht="24.75" customHeight="1">
      <c r="A51" s="413" t="s">
        <v>1013</v>
      </c>
      <c r="B51" s="413"/>
      <c r="C51" s="413"/>
      <c r="D51" s="413"/>
      <c r="E51" s="413"/>
      <c r="F51" s="413"/>
      <c r="G51" s="426"/>
      <c r="H51" s="15">
        <v>263</v>
      </c>
      <c r="I51" s="73">
        <v>1</v>
      </c>
      <c r="J51" s="73">
        <v>1</v>
      </c>
    </row>
    <row r="52" spans="1:10" s="2" customFormat="1" ht="24.75" customHeight="1">
      <c r="A52" s="413" t="s">
        <v>1319</v>
      </c>
      <c r="B52" s="413"/>
      <c r="C52" s="413"/>
      <c r="D52" s="413"/>
      <c r="E52" s="413"/>
      <c r="F52" s="413"/>
      <c r="G52" s="426"/>
      <c r="H52" s="15">
        <v>264</v>
      </c>
      <c r="I52" s="73"/>
      <c r="J52" s="73"/>
    </row>
    <row r="53" spans="1:10" s="2" customFormat="1" ht="13.5" customHeight="1">
      <c r="A53" s="413" t="s">
        <v>2927</v>
      </c>
      <c r="B53" s="413"/>
      <c r="C53" s="413"/>
      <c r="D53" s="413"/>
      <c r="E53" s="413"/>
      <c r="F53" s="413"/>
      <c r="G53" s="426"/>
      <c r="H53" s="15">
        <v>265</v>
      </c>
      <c r="I53" s="73"/>
      <c r="J53" s="73"/>
    </row>
    <row r="54" spans="1:10" s="2" customFormat="1" ht="13.5" customHeight="1">
      <c r="A54" s="413" t="s">
        <v>2928</v>
      </c>
      <c r="B54" s="413"/>
      <c r="C54" s="413"/>
      <c r="D54" s="413"/>
      <c r="E54" s="413"/>
      <c r="F54" s="413"/>
      <c r="G54" s="426"/>
      <c r="H54" s="15">
        <v>266</v>
      </c>
      <c r="I54" s="73"/>
      <c r="J54" s="73"/>
    </row>
    <row r="55" spans="1:10" s="2" customFormat="1" ht="13.5" customHeight="1">
      <c r="A55" s="413" t="s">
        <v>1673</v>
      </c>
      <c r="B55" s="413"/>
      <c r="C55" s="413"/>
      <c r="D55" s="413"/>
      <c r="E55" s="413"/>
      <c r="F55" s="413"/>
      <c r="G55" s="426"/>
      <c r="H55" s="15">
        <v>267</v>
      </c>
      <c r="I55" s="73"/>
      <c r="J55" s="73"/>
    </row>
    <row r="56" spans="1:10" s="2" customFormat="1" ht="13.5" customHeight="1">
      <c r="A56" s="413" t="s">
        <v>1674</v>
      </c>
      <c r="B56" s="413"/>
      <c r="C56" s="413"/>
      <c r="D56" s="413"/>
      <c r="E56" s="413"/>
      <c r="F56" s="413"/>
      <c r="G56" s="426"/>
      <c r="H56" s="15">
        <v>268</v>
      </c>
      <c r="I56" s="73"/>
      <c r="J56" s="73"/>
    </row>
    <row r="57" spans="1:10" s="2" customFormat="1" ht="25.5" customHeight="1">
      <c r="A57" s="413" t="s">
        <v>1320</v>
      </c>
      <c r="B57" s="413"/>
      <c r="C57" s="413"/>
      <c r="D57" s="413"/>
      <c r="E57" s="413"/>
      <c r="F57" s="413"/>
      <c r="G57" s="426"/>
      <c r="H57" s="15">
        <v>269</v>
      </c>
      <c r="I57" s="73"/>
      <c r="J57" s="73"/>
    </row>
    <row r="58" spans="1:10" s="2" customFormat="1" ht="13.5" customHeight="1">
      <c r="A58" s="413" t="s">
        <v>1675</v>
      </c>
      <c r="B58" s="413"/>
      <c r="C58" s="413"/>
      <c r="D58" s="413"/>
      <c r="E58" s="413"/>
      <c r="F58" s="413"/>
      <c r="G58" s="426"/>
      <c r="H58" s="15">
        <v>270</v>
      </c>
      <c r="I58" s="73"/>
      <c r="J58" s="73"/>
    </row>
    <row r="59" spans="1:10" s="2" customFormat="1" ht="13.5" customHeight="1">
      <c r="A59" s="413" t="s">
        <v>1676</v>
      </c>
      <c r="B59" s="413"/>
      <c r="C59" s="413"/>
      <c r="D59" s="413"/>
      <c r="E59" s="413"/>
      <c r="F59" s="413"/>
      <c r="G59" s="426"/>
      <c r="H59" s="15">
        <v>271</v>
      </c>
      <c r="I59" s="73"/>
      <c r="J59" s="73"/>
    </row>
    <row r="60" spans="1:10" s="2" customFormat="1" ht="13.5" customHeight="1">
      <c r="A60" s="413" t="s">
        <v>1677</v>
      </c>
      <c r="B60" s="413"/>
      <c r="C60" s="413"/>
      <c r="D60" s="413"/>
      <c r="E60" s="413"/>
      <c r="F60" s="413"/>
      <c r="G60" s="426"/>
      <c r="H60" s="15">
        <v>272</v>
      </c>
      <c r="I60" s="73">
        <v>63007</v>
      </c>
      <c r="J60" s="73">
        <v>67584</v>
      </c>
    </row>
    <row r="61" spans="1:10" s="2" customFormat="1" ht="13.5" customHeight="1">
      <c r="A61" s="435" t="s">
        <v>1321</v>
      </c>
      <c r="B61" s="435"/>
      <c r="C61" s="435"/>
      <c r="D61" s="435"/>
      <c r="E61" s="435"/>
      <c r="F61" s="435"/>
      <c r="G61" s="436"/>
      <c r="H61" s="15">
        <v>273</v>
      </c>
      <c r="I61" s="73"/>
      <c r="J61" s="73"/>
    </row>
    <row r="62" spans="1:10" s="2" customFormat="1" ht="13.5" customHeight="1">
      <c r="A62" s="413" t="s">
        <v>1678</v>
      </c>
      <c r="B62" s="413"/>
      <c r="C62" s="413"/>
      <c r="D62" s="413"/>
      <c r="E62" s="413"/>
      <c r="F62" s="413"/>
      <c r="G62" s="426"/>
      <c r="H62" s="15">
        <v>274</v>
      </c>
      <c r="I62" s="73">
        <v>1</v>
      </c>
      <c r="J62" s="73">
        <v>1</v>
      </c>
    </row>
    <row r="63" spans="1:10" s="2" customFormat="1" ht="13.5" customHeight="1">
      <c r="A63" s="413" t="s">
        <v>1679</v>
      </c>
      <c r="B63" s="413"/>
      <c r="C63" s="413"/>
      <c r="D63" s="413"/>
      <c r="E63" s="413"/>
      <c r="F63" s="413"/>
      <c r="G63" s="426"/>
      <c r="H63" s="15">
        <v>275</v>
      </c>
      <c r="I63" s="73"/>
      <c r="J63" s="73"/>
    </row>
    <row r="64" spans="1:10" s="2" customFormat="1" ht="13.5" customHeight="1">
      <c r="A64" s="413" t="s">
        <v>1680</v>
      </c>
      <c r="B64" s="413"/>
      <c r="C64" s="413"/>
      <c r="D64" s="413"/>
      <c r="E64" s="413"/>
      <c r="F64" s="413"/>
      <c r="G64" s="426"/>
      <c r="H64" s="15">
        <v>276</v>
      </c>
      <c r="I64" s="73"/>
      <c r="J64" s="73"/>
    </row>
    <row r="65" spans="1:10" s="2" customFormat="1" ht="13.5" customHeight="1">
      <c r="A65" s="413" t="s">
        <v>1318</v>
      </c>
      <c r="B65" s="413"/>
      <c r="C65" s="413"/>
      <c r="D65" s="413"/>
      <c r="E65" s="413"/>
      <c r="F65" s="413"/>
      <c r="G65" s="426"/>
      <c r="H65" s="15">
        <v>277</v>
      </c>
      <c r="I65" s="73">
        <v>56700</v>
      </c>
      <c r="J65" s="73">
        <v>214175</v>
      </c>
    </row>
    <row r="66" spans="1:10" s="2" customFormat="1" ht="13.5" customHeight="1">
      <c r="A66" s="435" t="s">
        <v>1516</v>
      </c>
      <c r="B66" s="435"/>
      <c r="C66" s="435"/>
      <c r="D66" s="435"/>
      <c r="E66" s="435"/>
      <c r="F66" s="435"/>
      <c r="G66" s="436"/>
      <c r="H66" s="15">
        <v>278</v>
      </c>
      <c r="I66" s="73"/>
      <c r="J66" s="73"/>
    </row>
    <row r="67" spans="1:10" s="2" customFormat="1" ht="24.75" customHeight="1">
      <c r="A67" s="413" t="s">
        <v>1014</v>
      </c>
      <c r="B67" s="413"/>
      <c r="C67" s="413"/>
      <c r="D67" s="413"/>
      <c r="E67" s="413"/>
      <c r="F67" s="413"/>
      <c r="G67" s="426"/>
      <c r="H67" s="15">
        <v>279</v>
      </c>
      <c r="I67" s="73"/>
      <c r="J67" s="73"/>
    </row>
    <row r="68" spans="1:10" s="2" customFormat="1" ht="13.5" customHeight="1">
      <c r="A68" s="413" t="s">
        <v>1324</v>
      </c>
      <c r="B68" s="413"/>
      <c r="C68" s="413"/>
      <c r="D68" s="413"/>
      <c r="E68" s="413"/>
      <c r="F68" s="413"/>
      <c r="G68" s="426"/>
      <c r="H68" s="15">
        <v>280</v>
      </c>
      <c r="I68" s="73"/>
      <c r="J68" s="73"/>
    </row>
    <row r="69" spans="1:10" s="2" customFormat="1" ht="13.5" customHeight="1">
      <c r="A69" s="413" t="s">
        <v>1323</v>
      </c>
      <c r="B69" s="413"/>
      <c r="C69" s="413"/>
      <c r="D69" s="413"/>
      <c r="E69" s="413"/>
      <c r="F69" s="413"/>
      <c r="G69" s="426"/>
      <c r="H69" s="15">
        <v>281</v>
      </c>
      <c r="I69" s="73"/>
      <c r="J69" s="73"/>
    </row>
    <row r="70" spans="1:10" s="2" customFormat="1" ht="24.75" customHeight="1">
      <c r="A70" s="413" t="s">
        <v>1322</v>
      </c>
      <c r="B70" s="413"/>
      <c r="C70" s="413"/>
      <c r="D70" s="413"/>
      <c r="E70" s="413"/>
      <c r="F70" s="413"/>
      <c r="G70" s="426"/>
      <c r="H70" s="15">
        <v>282</v>
      </c>
      <c r="I70" s="73"/>
      <c r="J70" s="73"/>
    </row>
    <row r="71" spans="1:10" s="2" customFormat="1" ht="13.5" customHeight="1">
      <c r="A71" s="425" t="s">
        <v>2596</v>
      </c>
      <c r="B71" s="425"/>
      <c r="C71" s="425"/>
      <c r="D71" s="425"/>
      <c r="E71" s="425"/>
      <c r="F71" s="425"/>
      <c r="G71" s="434"/>
      <c r="H71" s="17">
        <v>283</v>
      </c>
      <c r="I71" s="74"/>
      <c r="J71" s="74"/>
    </row>
    <row r="72" spans="1:10" s="2" customFormat="1" ht="13.5" customHeight="1">
      <c r="A72" s="427" t="s">
        <v>2924</v>
      </c>
      <c r="B72" s="428"/>
      <c r="C72" s="428"/>
      <c r="D72" s="428"/>
      <c r="E72" s="428"/>
      <c r="F72" s="428"/>
      <c r="G72" s="428"/>
      <c r="H72" s="428"/>
      <c r="I72" s="428"/>
      <c r="J72" s="429"/>
    </row>
    <row r="73" spans="1:10" s="2" customFormat="1" ht="13.5" customHeight="1">
      <c r="A73" s="430" t="s">
        <v>2884</v>
      </c>
      <c r="B73" s="430"/>
      <c r="C73" s="430"/>
      <c r="D73" s="430"/>
      <c r="E73" s="430"/>
      <c r="F73" s="430"/>
      <c r="G73" s="431"/>
      <c r="H73" s="88">
        <v>284</v>
      </c>
      <c r="I73" s="90">
        <v>0</v>
      </c>
      <c r="J73" s="90"/>
    </row>
    <row r="74" spans="1:10" s="2" customFormat="1" ht="13.5" customHeight="1">
      <c r="A74" s="413" t="s">
        <v>2885</v>
      </c>
      <c r="B74" s="413"/>
      <c r="C74" s="413"/>
      <c r="D74" s="413"/>
      <c r="E74" s="413"/>
      <c r="F74" s="413"/>
      <c r="G74" s="426"/>
      <c r="H74" s="15">
        <v>285</v>
      </c>
      <c r="I74" s="73"/>
      <c r="J74" s="73"/>
    </row>
    <row r="75" spans="1:10" s="2" customFormat="1" ht="13.5" customHeight="1">
      <c r="A75" s="413" t="s">
        <v>673</v>
      </c>
      <c r="B75" s="413"/>
      <c r="C75" s="413"/>
      <c r="D75" s="413"/>
      <c r="E75" s="413"/>
      <c r="F75" s="413"/>
      <c r="G75" s="426"/>
      <c r="H75" s="15">
        <v>286</v>
      </c>
      <c r="I75" s="73"/>
      <c r="J75" s="73"/>
    </row>
    <row r="76" spans="1:10" s="2" customFormat="1" ht="13.5" customHeight="1">
      <c r="A76" s="425" t="s">
        <v>674</v>
      </c>
      <c r="B76" s="425"/>
      <c r="C76" s="425"/>
      <c r="D76" s="425"/>
      <c r="E76" s="425"/>
      <c r="F76" s="425"/>
      <c r="G76" s="434"/>
      <c r="H76" s="17">
        <v>287</v>
      </c>
      <c r="I76" s="74"/>
      <c r="J76" s="74"/>
    </row>
    <row r="77" spans="1:10" s="2" customFormat="1" ht="13.5" customHeight="1">
      <c r="A77" s="427" t="s">
        <v>2595</v>
      </c>
      <c r="B77" s="428"/>
      <c r="C77" s="428"/>
      <c r="D77" s="428"/>
      <c r="E77" s="428"/>
      <c r="F77" s="428"/>
      <c r="G77" s="428"/>
      <c r="H77" s="428"/>
      <c r="I77" s="428"/>
      <c r="J77" s="429"/>
    </row>
    <row r="78" spans="1:10" s="2" customFormat="1" ht="24.75" customHeight="1">
      <c r="A78" s="430" t="s">
        <v>2242</v>
      </c>
      <c r="B78" s="430"/>
      <c r="C78" s="430"/>
      <c r="D78" s="430"/>
      <c r="E78" s="430"/>
      <c r="F78" s="430"/>
      <c r="G78" s="431"/>
      <c r="H78" s="88">
        <v>288</v>
      </c>
      <c r="I78" s="220">
        <f>SUM(I79:I82)</f>
        <v>336622</v>
      </c>
      <c r="J78" s="220">
        <f>SUM(J79:J82)</f>
        <v>506609</v>
      </c>
    </row>
    <row r="79" spans="1:10" s="2" customFormat="1" ht="13.5" customHeight="1">
      <c r="A79" s="413" t="s">
        <v>352</v>
      </c>
      <c r="B79" s="413"/>
      <c r="C79" s="413"/>
      <c r="D79" s="413"/>
      <c r="E79" s="413"/>
      <c r="F79" s="413"/>
      <c r="G79" s="426"/>
      <c r="H79" s="15">
        <v>289</v>
      </c>
      <c r="I79" s="73">
        <v>83618</v>
      </c>
      <c r="J79" s="73">
        <v>322341</v>
      </c>
    </row>
    <row r="80" spans="1:10" s="2" customFormat="1" ht="13.5" customHeight="1">
      <c r="A80" s="413" t="s">
        <v>353</v>
      </c>
      <c r="B80" s="413"/>
      <c r="C80" s="413"/>
      <c r="D80" s="413"/>
      <c r="E80" s="413"/>
      <c r="F80" s="413"/>
      <c r="G80" s="426"/>
      <c r="H80" s="15">
        <v>290</v>
      </c>
      <c r="I80" s="73">
        <v>253004</v>
      </c>
      <c r="J80" s="73">
        <v>184268</v>
      </c>
    </row>
    <row r="81" spans="1:10" s="2" customFormat="1" ht="13.5" customHeight="1">
      <c r="A81" s="413" t="s">
        <v>2082</v>
      </c>
      <c r="B81" s="413"/>
      <c r="C81" s="413"/>
      <c r="D81" s="413"/>
      <c r="E81" s="413"/>
      <c r="F81" s="413"/>
      <c r="G81" s="426"/>
      <c r="H81" s="15">
        <v>291</v>
      </c>
      <c r="I81" s="73"/>
      <c r="J81" s="73"/>
    </row>
    <row r="82" spans="1:10" s="2" customFormat="1" ht="36" customHeight="1">
      <c r="A82" s="413" t="s">
        <v>2085</v>
      </c>
      <c r="B82" s="413"/>
      <c r="C82" s="413"/>
      <c r="D82" s="413"/>
      <c r="E82" s="413"/>
      <c r="F82" s="413"/>
      <c r="G82" s="426"/>
      <c r="H82" s="15">
        <v>292</v>
      </c>
      <c r="I82" s="73"/>
      <c r="J82" s="73"/>
    </row>
    <row r="83" spans="1:10" s="2" customFormat="1" ht="13.5" customHeight="1">
      <c r="A83" s="413" t="s">
        <v>2083</v>
      </c>
      <c r="B83" s="413"/>
      <c r="C83" s="413"/>
      <c r="D83" s="413"/>
      <c r="E83" s="413"/>
      <c r="F83" s="413"/>
      <c r="G83" s="426"/>
      <c r="H83" s="15">
        <v>293</v>
      </c>
      <c r="I83" s="73"/>
      <c r="J83" s="73"/>
    </row>
    <row r="84" spans="1:10" s="2" customFormat="1" ht="13.5" customHeight="1">
      <c r="A84" s="413" t="s">
        <v>2084</v>
      </c>
      <c r="B84" s="413"/>
      <c r="C84" s="413"/>
      <c r="D84" s="413"/>
      <c r="E84" s="413"/>
      <c r="F84" s="413"/>
      <c r="G84" s="426"/>
      <c r="H84" s="15">
        <v>294</v>
      </c>
      <c r="I84" s="73"/>
      <c r="J84" s="73"/>
    </row>
    <row r="85" spans="1:10" s="2" customFormat="1" ht="24.75" customHeight="1">
      <c r="A85" s="413" t="s">
        <v>1015</v>
      </c>
      <c r="B85" s="413"/>
      <c r="C85" s="413"/>
      <c r="D85" s="413"/>
      <c r="E85" s="413"/>
      <c r="F85" s="413"/>
      <c r="G85" s="426"/>
      <c r="H85" s="15">
        <v>295</v>
      </c>
      <c r="I85" s="73"/>
      <c r="J85" s="73"/>
    </row>
    <row r="86" spans="1:10" s="2" customFormat="1" ht="24.75" customHeight="1">
      <c r="A86" s="425" t="s">
        <v>2086</v>
      </c>
      <c r="B86" s="425"/>
      <c r="C86" s="425"/>
      <c r="D86" s="425"/>
      <c r="E86" s="425"/>
      <c r="F86" s="425"/>
      <c r="G86" s="434"/>
      <c r="H86" s="17">
        <v>296</v>
      </c>
      <c r="I86" s="74"/>
      <c r="J86" s="74"/>
    </row>
    <row r="87" spans="1:10" s="2" customFormat="1" ht="13.5" customHeight="1">
      <c r="A87" s="427" t="s">
        <v>351</v>
      </c>
      <c r="B87" s="428"/>
      <c r="C87" s="428"/>
      <c r="D87" s="428"/>
      <c r="E87" s="428"/>
      <c r="F87" s="428"/>
      <c r="G87" s="428"/>
      <c r="H87" s="428"/>
      <c r="I87" s="428"/>
      <c r="J87" s="429"/>
    </row>
    <row r="88" spans="1:13" s="2" customFormat="1" ht="36" customHeight="1">
      <c r="A88" s="432" t="s">
        <v>2087</v>
      </c>
      <c r="B88" s="432"/>
      <c r="C88" s="432"/>
      <c r="D88" s="432"/>
      <c r="E88" s="432"/>
      <c r="F88" s="432"/>
      <c r="G88" s="433"/>
      <c r="H88" s="91">
        <v>297</v>
      </c>
      <c r="I88" s="92"/>
      <c r="J88" s="92"/>
      <c r="M88" s="84"/>
    </row>
    <row r="89" spans="15:16" ht="4.5" customHeight="1">
      <c r="O89" s="2"/>
      <c r="P89" s="2"/>
    </row>
  </sheetData>
  <sheetProtection password="C79A" sheet="1" objects="1" scenarios="1"/>
  <mergeCells count="87">
    <mergeCell ref="A3:I3"/>
    <mergeCell ref="A35:G35"/>
    <mergeCell ref="A15:G15"/>
    <mergeCell ref="J2:J3"/>
    <mergeCell ref="A7:G7"/>
    <mergeCell ref="A5:J5"/>
    <mergeCell ref="A6:G6"/>
    <mergeCell ref="A12:G12"/>
    <mergeCell ref="A13:G13"/>
    <mergeCell ref="A14:G14"/>
    <mergeCell ref="A2:I2"/>
    <mergeCell ref="A27:G27"/>
    <mergeCell ref="A16:J16"/>
    <mergeCell ref="A17:G17"/>
    <mergeCell ref="A18:G18"/>
    <mergeCell ref="A46:G46"/>
    <mergeCell ref="A44:G44"/>
    <mergeCell ref="A45:G45"/>
    <mergeCell ref="A23:G23"/>
    <mergeCell ref="A21:G21"/>
    <mergeCell ref="A19:G19"/>
    <mergeCell ref="A20:G20"/>
    <mergeCell ref="A30:G30"/>
    <mergeCell ref="A31:G31"/>
    <mergeCell ref="A28:G28"/>
    <mergeCell ref="A29:G29"/>
    <mergeCell ref="A41:J41"/>
    <mergeCell ref="A36:J36"/>
    <mergeCell ref="A24:J24"/>
    <mergeCell ref="A37:G37"/>
    <mergeCell ref="A32:G32"/>
    <mergeCell ref="A33:G33"/>
    <mergeCell ref="A56:G56"/>
    <mergeCell ref="A53:G53"/>
    <mergeCell ref="A26:G26"/>
    <mergeCell ref="A55:G55"/>
    <mergeCell ref="A22:J22"/>
    <mergeCell ref="A25:G25"/>
    <mergeCell ref="A42:G42"/>
    <mergeCell ref="A43:G43"/>
    <mergeCell ref="A40:G40"/>
    <mergeCell ref="A38:G38"/>
    <mergeCell ref="A85:G85"/>
    <mergeCell ref="A83:G83"/>
    <mergeCell ref="A39:J39"/>
    <mergeCell ref="A48:J48"/>
    <mergeCell ref="A34:G34"/>
    <mergeCell ref="A66:G66"/>
    <mergeCell ref="A59:G59"/>
    <mergeCell ref="A60:G60"/>
    <mergeCell ref="A51:G51"/>
    <mergeCell ref="A52:G52"/>
    <mergeCell ref="A62:G62"/>
    <mergeCell ref="A63:G63"/>
    <mergeCell ref="A61:G61"/>
    <mergeCell ref="A64:G64"/>
    <mergeCell ref="A68:G68"/>
    <mergeCell ref="A67:G67"/>
    <mergeCell ref="A47:G47"/>
    <mergeCell ref="A57:G57"/>
    <mergeCell ref="A58:G58"/>
    <mergeCell ref="A49:G49"/>
    <mergeCell ref="A50:G50"/>
    <mergeCell ref="A8:J8"/>
    <mergeCell ref="A9:G9"/>
    <mergeCell ref="A10:G10"/>
    <mergeCell ref="A11:G11"/>
    <mergeCell ref="A54:G54"/>
    <mergeCell ref="A84:G84"/>
    <mergeCell ref="A88:G88"/>
    <mergeCell ref="A71:G71"/>
    <mergeCell ref="A79:G79"/>
    <mergeCell ref="A80:G80"/>
    <mergeCell ref="A78:G78"/>
    <mergeCell ref="A76:G76"/>
    <mergeCell ref="A77:J77"/>
    <mergeCell ref="A87:J87"/>
    <mergeCell ref="A86:G86"/>
    <mergeCell ref="A65:G65"/>
    <mergeCell ref="A81:G81"/>
    <mergeCell ref="A82:G82"/>
    <mergeCell ref="A70:G70"/>
    <mergeCell ref="A72:J72"/>
    <mergeCell ref="A74:G74"/>
    <mergeCell ref="A75:G75"/>
    <mergeCell ref="A73:G73"/>
    <mergeCell ref="A69:G69"/>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37" t="s">
        <v>1781</v>
      </c>
      <c r="B2" s="438"/>
      <c r="C2" s="438"/>
      <c r="D2" s="438"/>
      <c r="E2" s="438"/>
      <c r="F2" s="438"/>
      <c r="G2" s="438"/>
      <c r="H2" s="438"/>
      <c r="I2" s="453"/>
      <c r="J2" s="389" t="s">
        <v>85</v>
      </c>
      <c r="Q2" s="70">
        <f>IF(OR(MIN(I8:I60)&lt;0,MAX(I8:I60)&gt;0),1,0)</f>
        <v>0</v>
      </c>
      <c r="R2" s="69" t="s">
        <v>77</v>
      </c>
    </row>
    <row r="3" spans="1:18" s="2" customFormat="1" ht="19.5" customHeight="1" thickBot="1">
      <c r="A3" s="440" t="str">
        <f>"u razdoblju "&amp;IF(RefStr!C4&lt;&gt;"",TEXT(RefStr!C4,"DD.MM.YYYY."),"__.__.____.")&amp;" do "&amp;IF(RefStr!F4&lt;&gt;"",TEXT(RefStr!F4,"DD.MM.YYYY."),"__.__.____.")</f>
        <v>u razdoblju 01.01.2021. do 31.12.2021.</v>
      </c>
      <c r="B3" s="441"/>
      <c r="C3" s="441"/>
      <c r="D3" s="441"/>
      <c r="E3" s="441"/>
      <c r="F3" s="441"/>
      <c r="G3" s="441"/>
      <c r="H3" s="441"/>
      <c r="I3" s="454"/>
      <c r="J3" s="443"/>
      <c r="Q3" s="70">
        <f>IF(OR(MIN(J8:J60)&lt;0,MAX(J8:J60)&gt;0),1,0)</f>
        <v>0</v>
      </c>
      <c r="R3" s="69" t="s">
        <v>78</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92143159456; PONIKVE USLUGA d.o.o.</v>
      </c>
      <c r="B5" s="398"/>
      <c r="C5" s="398"/>
      <c r="D5" s="398"/>
      <c r="E5" s="398"/>
      <c r="F5" s="398"/>
      <c r="G5" s="398"/>
      <c r="H5" s="398"/>
      <c r="I5" s="398"/>
      <c r="J5" s="399"/>
    </row>
    <row r="6" spans="1:10" s="2" customFormat="1" ht="24.75" customHeight="1" thickBot="1">
      <c r="A6" s="455" t="s">
        <v>2849</v>
      </c>
      <c r="B6" s="456"/>
      <c r="C6" s="456"/>
      <c r="D6" s="456"/>
      <c r="E6" s="456"/>
      <c r="F6" s="456"/>
      <c r="G6" s="94" t="s">
        <v>1309</v>
      </c>
      <c r="H6" s="98" t="s">
        <v>717</v>
      </c>
      <c r="I6" s="94" t="s">
        <v>1900</v>
      </c>
      <c r="J6" s="95" t="s">
        <v>1901</v>
      </c>
    </row>
    <row r="7" spans="1:10" s="2" customFormat="1" ht="13.5" customHeight="1">
      <c r="A7" s="457">
        <v>1</v>
      </c>
      <c r="B7" s="458"/>
      <c r="C7" s="458"/>
      <c r="D7" s="458"/>
      <c r="E7" s="458"/>
      <c r="F7" s="458"/>
      <c r="G7" s="113">
        <v>2</v>
      </c>
      <c r="H7" s="114">
        <v>3</v>
      </c>
      <c r="I7" s="115">
        <v>4</v>
      </c>
      <c r="J7" s="116">
        <v>5</v>
      </c>
    </row>
    <row r="8" spans="1:10" s="2" customFormat="1" ht="15" customHeight="1">
      <c r="A8" s="427" t="s">
        <v>2088</v>
      </c>
      <c r="B8" s="428"/>
      <c r="C8" s="428"/>
      <c r="D8" s="428"/>
      <c r="E8" s="428"/>
      <c r="F8" s="428"/>
      <c r="G8" s="428"/>
      <c r="H8" s="428"/>
      <c r="I8" s="428"/>
      <c r="J8" s="429"/>
    </row>
    <row r="9" spans="1:10" s="2" customFormat="1" ht="13.5" customHeight="1">
      <c r="A9" s="430" t="s">
        <v>2089</v>
      </c>
      <c r="B9" s="430"/>
      <c r="C9" s="430"/>
      <c r="D9" s="430"/>
      <c r="E9" s="430"/>
      <c r="F9" s="430"/>
      <c r="G9" s="88">
        <v>1</v>
      </c>
      <c r="H9" s="120"/>
      <c r="I9" s="138"/>
      <c r="J9" s="138"/>
    </row>
    <row r="10" spans="1:10" s="2" customFormat="1" ht="13.5" customHeight="1">
      <c r="A10" s="413" t="s">
        <v>1952</v>
      </c>
      <c r="B10" s="413"/>
      <c r="C10" s="413"/>
      <c r="D10" s="413"/>
      <c r="E10" s="413"/>
      <c r="F10" s="413"/>
      <c r="G10" s="15">
        <v>2</v>
      </c>
      <c r="H10" s="19"/>
      <c r="I10" s="121">
        <f>SUM(I11:I18)</f>
        <v>0</v>
      </c>
      <c r="J10" s="121">
        <f>SUM(J11:J18)</f>
        <v>0</v>
      </c>
    </row>
    <row r="11" spans="1:12" s="2" customFormat="1" ht="13.5" customHeight="1">
      <c r="A11" s="435" t="s">
        <v>416</v>
      </c>
      <c r="B11" s="435"/>
      <c r="C11" s="435"/>
      <c r="D11" s="435"/>
      <c r="E11" s="435"/>
      <c r="F11" s="435"/>
      <c r="G11" s="15">
        <v>3</v>
      </c>
      <c r="H11" s="19"/>
      <c r="I11" s="122"/>
      <c r="J11" s="122"/>
      <c r="L11" s="2" t="s">
        <v>1382</v>
      </c>
    </row>
    <row r="12" spans="1:10" s="2" customFormat="1" ht="24.75" customHeight="1">
      <c r="A12" s="435" t="s">
        <v>883</v>
      </c>
      <c r="B12" s="435"/>
      <c r="C12" s="435"/>
      <c r="D12" s="435"/>
      <c r="E12" s="435"/>
      <c r="F12" s="435"/>
      <c r="G12" s="15">
        <v>4</v>
      </c>
      <c r="H12" s="19"/>
      <c r="I12" s="122"/>
      <c r="J12" s="122"/>
    </row>
    <row r="13" spans="1:10" s="2" customFormat="1" ht="24.75" customHeight="1">
      <c r="A13" s="435" t="s">
        <v>884</v>
      </c>
      <c r="B13" s="435"/>
      <c r="C13" s="435"/>
      <c r="D13" s="435"/>
      <c r="E13" s="435"/>
      <c r="F13" s="435"/>
      <c r="G13" s="15">
        <v>5</v>
      </c>
      <c r="H13" s="19"/>
      <c r="I13" s="122"/>
      <c r="J13" s="122"/>
    </row>
    <row r="14" spans="1:12" s="2" customFormat="1" ht="13.5" customHeight="1">
      <c r="A14" s="435" t="s">
        <v>417</v>
      </c>
      <c r="B14" s="435"/>
      <c r="C14" s="435"/>
      <c r="D14" s="435"/>
      <c r="E14" s="435"/>
      <c r="F14" s="435"/>
      <c r="G14" s="15">
        <v>6</v>
      </c>
      <c r="H14" s="19"/>
      <c r="I14" s="122"/>
      <c r="J14" s="122"/>
      <c r="L14" s="2" t="s">
        <v>82</v>
      </c>
    </row>
    <row r="15" spans="1:12" s="2" customFormat="1" ht="13.5" customHeight="1">
      <c r="A15" s="435" t="s">
        <v>418</v>
      </c>
      <c r="B15" s="435"/>
      <c r="C15" s="435"/>
      <c r="D15" s="435"/>
      <c r="E15" s="435"/>
      <c r="F15" s="435"/>
      <c r="G15" s="15">
        <v>7</v>
      </c>
      <c r="H15" s="19"/>
      <c r="I15" s="122"/>
      <c r="J15" s="122"/>
      <c r="L15" s="2" t="s">
        <v>1382</v>
      </c>
    </row>
    <row r="16" spans="1:10" s="2" customFormat="1" ht="13.5" customHeight="1">
      <c r="A16" s="435" t="s">
        <v>419</v>
      </c>
      <c r="B16" s="435"/>
      <c r="C16" s="435"/>
      <c r="D16" s="435"/>
      <c r="E16" s="435"/>
      <c r="F16" s="435"/>
      <c r="G16" s="15">
        <v>8</v>
      </c>
      <c r="H16" s="19"/>
      <c r="I16" s="122"/>
      <c r="J16" s="122"/>
    </row>
    <row r="17" spans="1:10" s="2" customFormat="1" ht="13.5" customHeight="1">
      <c r="A17" s="435" t="s">
        <v>420</v>
      </c>
      <c r="B17" s="435"/>
      <c r="C17" s="435"/>
      <c r="D17" s="435"/>
      <c r="E17" s="435"/>
      <c r="F17" s="435"/>
      <c r="G17" s="15">
        <v>9</v>
      </c>
      <c r="H17" s="19"/>
      <c r="I17" s="122"/>
      <c r="J17" s="122"/>
    </row>
    <row r="18" spans="1:10" s="2" customFormat="1" ht="13.5" customHeight="1">
      <c r="A18" s="435" t="s">
        <v>882</v>
      </c>
      <c r="B18" s="435"/>
      <c r="C18" s="435"/>
      <c r="D18" s="435"/>
      <c r="E18" s="435"/>
      <c r="F18" s="435"/>
      <c r="G18" s="15">
        <v>10</v>
      </c>
      <c r="H18" s="19"/>
      <c r="I18" s="122"/>
      <c r="J18" s="122"/>
    </row>
    <row r="19" spans="1:14" s="2" customFormat="1" ht="24.75" customHeight="1">
      <c r="A19" s="409" t="s">
        <v>881</v>
      </c>
      <c r="B19" s="409"/>
      <c r="C19" s="409"/>
      <c r="D19" s="409"/>
      <c r="E19" s="409"/>
      <c r="F19" s="409"/>
      <c r="G19" s="15">
        <v>11</v>
      </c>
      <c r="H19" s="19"/>
      <c r="I19" s="121">
        <f>I9+I10</f>
        <v>0</v>
      </c>
      <c r="J19" s="121">
        <f>J9+J10</f>
        <v>0</v>
      </c>
      <c r="N19" s="2">
        <f>IF(MIN(NT_I!I11:J11,NT_I!I15:J15,NT_I!I30:J36,NT_I!I59:J60)&lt;0,1,0)</f>
        <v>0</v>
      </c>
    </row>
    <row r="20" spans="1:10" s="2" customFormat="1" ht="13.5" customHeight="1">
      <c r="A20" s="413" t="s">
        <v>1902</v>
      </c>
      <c r="B20" s="413"/>
      <c r="C20" s="413"/>
      <c r="D20" s="413"/>
      <c r="E20" s="413"/>
      <c r="F20" s="413"/>
      <c r="G20" s="15">
        <v>12</v>
      </c>
      <c r="H20" s="19"/>
      <c r="I20" s="121">
        <f>SUM(I21:I24)</f>
        <v>0</v>
      </c>
      <c r="J20" s="121">
        <f>SUM(J21:J24)</f>
        <v>0</v>
      </c>
    </row>
    <row r="21" spans="1:10" s="2" customFormat="1" ht="13.5" customHeight="1">
      <c r="A21" s="435" t="s">
        <v>795</v>
      </c>
      <c r="B21" s="435"/>
      <c r="C21" s="435"/>
      <c r="D21" s="435"/>
      <c r="E21" s="435"/>
      <c r="F21" s="435"/>
      <c r="G21" s="15">
        <v>13</v>
      </c>
      <c r="H21" s="19"/>
      <c r="I21" s="122"/>
      <c r="J21" s="122"/>
    </row>
    <row r="22" spans="1:10" s="2" customFormat="1" ht="13.5" customHeight="1">
      <c r="A22" s="435" t="s">
        <v>796</v>
      </c>
      <c r="B22" s="435"/>
      <c r="C22" s="435"/>
      <c r="D22" s="435"/>
      <c r="E22" s="435"/>
      <c r="F22" s="435"/>
      <c r="G22" s="15">
        <v>14</v>
      </c>
      <c r="H22" s="19"/>
      <c r="I22" s="122"/>
      <c r="J22" s="122"/>
    </row>
    <row r="23" spans="1:10" s="2" customFormat="1" ht="13.5" customHeight="1">
      <c r="A23" s="435" t="s">
        <v>797</v>
      </c>
      <c r="B23" s="435"/>
      <c r="C23" s="435"/>
      <c r="D23" s="435"/>
      <c r="E23" s="435"/>
      <c r="F23" s="435"/>
      <c r="G23" s="15">
        <v>15</v>
      </c>
      <c r="H23" s="19"/>
      <c r="I23" s="122"/>
      <c r="J23" s="122"/>
    </row>
    <row r="24" spans="1:10" s="2" customFormat="1" ht="13.5" customHeight="1">
      <c r="A24" s="435" t="s">
        <v>798</v>
      </c>
      <c r="B24" s="435"/>
      <c r="C24" s="435"/>
      <c r="D24" s="435"/>
      <c r="E24" s="435"/>
      <c r="F24" s="435"/>
      <c r="G24" s="15">
        <v>16</v>
      </c>
      <c r="H24" s="19"/>
      <c r="I24" s="122"/>
      <c r="J24" s="122"/>
    </row>
    <row r="25" spans="1:10" s="2" customFormat="1" ht="13.5" customHeight="1">
      <c r="A25" s="409" t="s">
        <v>29</v>
      </c>
      <c r="B25" s="409"/>
      <c r="C25" s="409"/>
      <c r="D25" s="409"/>
      <c r="E25" s="409"/>
      <c r="F25" s="409"/>
      <c r="G25" s="15">
        <v>17</v>
      </c>
      <c r="H25" s="19"/>
      <c r="I25" s="121">
        <f>I19+I20</f>
        <v>0</v>
      </c>
      <c r="J25" s="121">
        <f>J19+J20</f>
        <v>0</v>
      </c>
    </row>
    <row r="26" spans="1:12" s="2" customFormat="1" ht="13.5" customHeight="1">
      <c r="A26" s="413" t="s">
        <v>2328</v>
      </c>
      <c r="B26" s="413"/>
      <c r="C26" s="413"/>
      <c r="D26" s="413"/>
      <c r="E26" s="413"/>
      <c r="F26" s="413"/>
      <c r="G26" s="15">
        <v>18</v>
      </c>
      <c r="H26" s="19"/>
      <c r="I26" s="122"/>
      <c r="J26" s="122"/>
      <c r="L26" s="2" t="s">
        <v>82</v>
      </c>
    </row>
    <row r="27" spans="1:10" s="2" customFormat="1" ht="13.5" customHeight="1">
      <c r="A27" s="413" t="s">
        <v>2329</v>
      </c>
      <c r="B27" s="413"/>
      <c r="C27" s="413"/>
      <c r="D27" s="413"/>
      <c r="E27" s="413"/>
      <c r="F27" s="413"/>
      <c r="G27" s="15">
        <v>19</v>
      </c>
      <c r="H27" s="19"/>
      <c r="I27" s="122"/>
      <c r="J27" s="122"/>
    </row>
    <row r="28" spans="1:10" s="2" customFormat="1" ht="13.5" customHeight="1">
      <c r="A28" s="459" t="s">
        <v>1951</v>
      </c>
      <c r="B28" s="459"/>
      <c r="C28" s="459"/>
      <c r="D28" s="459"/>
      <c r="E28" s="459"/>
      <c r="F28" s="459"/>
      <c r="G28" s="17">
        <v>20</v>
      </c>
      <c r="H28" s="20"/>
      <c r="I28" s="123">
        <f>SUM(I25:I27)</f>
        <v>0</v>
      </c>
      <c r="J28" s="123">
        <f>SUM(J25:J27)</f>
        <v>0</v>
      </c>
    </row>
    <row r="29" spans="1:10" s="2" customFormat="1" ht="15" customHeight="1">
      <c r="A29" s="427" t="s">
        <v>799</v>
      </c>
      <c r="B29" s="428"/>
      <c r="C29" s="428"/>
      <c r="D29" s="428"/>
      <c r="E29" s="428"/>
      <c r="F29" s="428"/>
      <c r="G29" s="428"/>
      <c r="H29" s="428"/>
      <c r="I29" s="428"/>
      <c r="J29" s="429"/>
    </row>
    <row r="30" spans="1:12" s="2" customFormat="1" ht="13.5" customHeight="1">
      <c r="A30" s="430" t="s">
        <v>1942</v>
      </c>
      <c r="B30" s="430"/>
      <c r="C30" s="430"/>
      <c r="D30" s="430"/>
      <c r="E30" s="430"/>
      <c r="F30" s="430"/>
      <c r="G30" s="88">
        <v>21</v>
      </c>
      <c r="H30" s="120"/>
      <c r="I30" s="90"/>
      <c r="J30" s="90"/>
      <c r="L30" s="2" t="s">
        <v>1382</v>
      </c>
    </row>
    <row r="31" spans="1:12" s="2" customFormat="1" ht="13.5" customHeight="1">
      <c r="A31" s="413" t="s">
        <v>1943</v>
      </c>
      <c r="B31" s="413"/>
      <c r="C31" s="413"/>
      <c r="D31" s="413"/>
      <c r="E31" s="413"/>
      <c r="F31" s="413"/>
      <c r="G31" s="15">
        <v>22</v>
      </c>
      <c r="H31" s="19"/>
      <c r="I31" s="73"/>
      <c r="J31" s="73"/>
      <c r="L31" s="2" t="s">
        <v>1382</v>
      </c>
    </row>
    <row r="32" spans="1:12" s="2" customFormat="1" ht="13.5" customHeight="1">
      <c r="A32" s="413" t="s">
        <v>1944</v>
      </c>
      <c r="B32" s="413"/>
      <c r="C32" s="413"/>
      <c r="D32" s="413"/>
      <c r="E32" s="413"/>
      <c r="F32" s="413"/>
      <c r="G32" s="15">
        <v>23</v>
      </c>
      <c r="H32" s="19"/>
      <c r="I32" s="73"/>
      <c r="J32" s="73"/>
      <c r="L32" s="2" t="s">
        <v>1382</v>
      </c>
    </row>
    <row r="33" spans="1:12" s="2" customFormat="1" ht="13.5" customHeight="1">
      <c r="A33" s="413" t="s">
        <v>1945</v>
      </c>
      <c r="B33" s="413"/>
      <c r="C33" s="413"/>
      <c r="D33" s="413"/>
      <c r="E33" s="413"/>
      <c r="F33" s="413"/>
      <c r="G33" s="15">
        <v>24</v>
      </c>
      <c r="H33" s="19"/>
      <c r="I33" s="73"/>
      <c r="J33" s="73"/>
      <c r="L33" s="2" t="s">
        <v>1382</v>
      </c>
    </row>
    <row r="34" spans="1:12" s="2" customFormat="1" ht="13.5" customHeight="1">
      <c r="A34" s="413" t="s">
        <v>1946</v>
      </c>
      <c r="B34" s="413"/>
      <c r="C34" s="413"/>
      <c r="D34" s="413"/>
      <c r="E34" s="413"/>
      <c r="F34" s="413"/>
      <c r="G34" s="15">
        <v>25</v>
      </c>
      <c r="H34" s="19"/>
      <c r="I34" s="73"/>
      <c r="J34" s="73"/>
      <c r="L34" s="2" t="s">
        <v>1382</v>
      </c>
    </row>
    <row r="35" spans="1:12" s="2" customFormat="1" ht="13.5" customHeight="1">
      <c r="A35" s="413" t="s">
        <v>800</v>
      </c>
      <c r="B35" s="413"/>
      <c r="C35" s="413"/>
      <c r="D35" s="413"/>
      <c r="E35" s="413"/>
      <c r="F35" s="413"/>
      <c r="G35" s="15">
        <v>26</v>
      </c>
      <c r="H35" s="19"/>
      <c r="I35" s="73"/>
      <c r="J35" s="73"/>
      <c r="L35" s="2" t="s">
        <v>1382</v>
      </c>
    </row>
    <row r="36" spans="1:12" s="2" customFormat="1" ht="13.5" customHeight="1">
      <c r="A36" s="409" t="s">
        <v>28</v>
      </c>
      <c r="B36" s="409"/>
      <c r="C36" s="409"/>
      <c r="D36" s="409"/>
      <c r="E36" s="409"/>
      <c r="F36" s="409"/>
      <c r="G36" s="15">
        <v>27</v>
      </c>
      <c r="H36" s="19"/>
      <c r="I36" s="82">
        <f>SUM(I30:I35)</f>
        <v>0</v>
      </c>
      <c r="J36" s="82">
        <f>SUM(J30:J35)</f>
        <v>0</v>
      </c>
      <c r="L36" s="2" t="s">
        <v>1382</v>
      </c>
    </row>
    <row r="37" spans="1:12" s="2" customFormat="1" ht="13.5" customHeight="1">
      <c r="A37" s="413" t="s">
        <v>1947</v>
      </c>
      <c r="B37" s="413"/>
      <c r="C37" s="413"/>
      <c r="D37" s="413"/>
      <c r="E37" s="413"/>
      <c r="F37" s="413"/>
      <c r="G37" s="15">
        <v>28</v>
      </c>
      <c r="H37" s="19"/>
      <c r="I37" s="73"/>
      <c r="J37" s="73"/>
      <c r="L37" s="2" t="s">
        <v>82</v>
      </c>
    </row>
    <row r="38" spans="1:12" s="2" customFormat="1" ht="13.5" customHeight="1">
      <c r="A38" s="413" t="s">
        <v>1948</v>
      </c>
      <c r="B38" s="413"/>
      <c r="C38" s="413"/>
      <c r="D38" s="413"/>
      <c r="E38" s="413"/>
      <c r="F38" s="413"/>
      <c r="G38" s="15">
        <v>29</v>
      </c>
      <c r="H38" s="19"/>
      <c r="I38" s="73"/>
      <c r="J38" s="73"/>
      <c r="L38" s="2" t="s">
        <v>82</v>
      </c>
    </row>
    <row r="39" spans="1:12" s="2" customFormat="1" ht="13.5" customHeight="1">
      <c r="A39" s="413" t="s">
        <v>1949</v>
      </c>
      <c r="B39" s="413"/>
      <c r="C39" s="413"/>
      <c r="D39" s="413"/>
      <c r="E39" s="413"/>
      <c r="F39" s="413"/>
      <c r="G39" s="15">
        <v>30</v>
      </c>
      <c r="H39" s="19"/>
      <c r="I39" s="73"/>
      <c r="J39" s="73"/>
      <c r="L39" s="2" t="s">
        <v>82</v>
      </c>
    </row>
    <row r="40" spans="1:10" s="2" customFormat="1" ht="13.5" customHeight="1">
      <c r="A40" s="413" t="s">
        <v>1950</v>
      </c>
      <c r="B40" s="413"/>
      <c r="C40" s="413"/>
      <c r="D40" s="413"/>
      <c r="E40" s="413"/>
      <c r="F40" s="413"/>
      <c r="G40" s="15">
        <v>31</v>
      </c>
      <c r="H40" s="19"/>
      <c r="I40" s="73"/>
      <c r="J40" s="73"/>
    </row>
    <row r="41" spans="1:12" s="2" customFormat="1" ht="13.5" customHeight="1">
      <c r="A41" s="413" t="s">
        <v>801</v>
      </c>
      <c r="B41" s="413"/>
      <c r="C41" s="413"/>
      <c r="D41" s="413"/>
      <c r="E41" s="413"/>
      <c r="F41" s="413"/>
      <c r="G41" s="15">
        <v>32</v>
      </c>
      <c r="H41" s="19"/>
      <c r="I41" s="73"/>
      <c r="J41" s="73"/>
      <c r="L41" s="2" t="s">
        <v>82</v>
      </c>
    </row>
    <row r="42" spans="1:12" s="2" customFormat="1" ht="13.5" customHeight="1">
      <c r="A42" s="409" t="s">
        <v>1665</v>
      </c>
      <c r="B42" s="409"/>
      <c r="C42" s="409"/>
      <c r="D42" s="409"/>
      <c r="E42" s="409"/>
      <c r="F42" s="409"/>
      <c r="G42" s="15">
        <v>33</v>
      </c>
      <c r="H42" s="19"/>
      <c r="I42" s="82">
        <f>SUM(I37:I41)</f>
        <v>0</v>
      </c>
      <c r="J42" s="82">
        <f>SUM(J37:J41)</f>
        <v>0</v>
      </c>
      <c r="L42" s="2" t="s">
        <v>82</v>
      </c>
    </row>
    <row r="43" spans="1:10" s="2" customFormat="1" ht="13.5" customHeight="1">
      <c r="A43" s="459" t="s">
        <v>16</v>
      </c>
      <c r="B43" s="459"/>
      <c r="C43" s="459"/>
      <c r="D43" s="459"/>
      <c r="E43" s="459"/>
      <c r="F43" s="459"/>
      <c r="G43" s="17">
        <v>34</v>
      </c>
      <c r="H43" s="20"/>
      <c r="I43" s="83">
        <f>I36+I42</f>
        <v>0</v>
      </c>
      <c r="J43" s="83">
        <f>J36+J42</f>
        <v>0</v>
      </c>
    </row>
    <row r="44" spans="1:10" s="2" customFormat="1" ht="15" customHeight="1">
      <c r="A44" s="427" t="s">
        <v>1666</v>
      </c>
      <c r="B44" s="428"/>
      <c r="C44" s="428"/>
      <c r="D44" s="428"/>
      <c r="E44" s="428"/>
      <c r="F44" s="428"/>
      <c r="G44" s="428"/>
      <c r="H44" s="428"/>
      <c r="I44" s="428"/>
      <c r="J44" s="429"/>
    </row>
    <row r="45" spans="1:12" s="2" customFormat="1" ht="13.5" customHeight="1">
      <c r="A45" s="430" t="s">
        <v>1669</v>
      </c>
      <c r="B45" s="430"/>
      <c r="C45" s="430"/>
      <c r="D45" s="430"/>
      <c r="E45" s="430"/>
      <c r="F45" s="430"/>
      <c r="G45" s="88">
        <v>35</v>
      </c>
      <c r="H45" s="120"/>
      <c r="I45" s="90"/>
      <c r="J45" s="90"/>
      <c r="L45" s="2" t="s">
        <v>1382</v>
      </c>
    </row>
    <row r="46" spans="1:12" s="2" customFormat="1" ht="13.5" customHeight="1">
      <c r="A46" s="413" t="s">
        <v>1670</v>
      </c>
      <c r="B46" s="413"/>
      <c r="C46" s="413"/>
      <c r="D46" s="413"/>
      <c r="E46" s="413"/>
      <c r="F46" s="413"/>
      <c r="G46" s="15">
        <v>36</v>
      </c>
      <c r="H46" s="19"/>
      <c r="I46" s="73"/>
      <c r="J46" s="73"/>
      <c r="L46" s="2" t="s">
        <v>1382</v>
      </c>
    </row>
    <row r="47" spans="1:12" s="2" customFormat="1" ht="13.5" customHeight="1">
      <c r="A47" s="413" t="s">
        <v>1671</v>
      </c>
      <c r="B47" s="413"/>
      <c r="C47" s="413"/>
      <c r="D47" s="413"/>
      <c r="E47" s="413"/>
      <c r="F47" s="413"/>
      <c r="G47" s="15">
        <v>37</v>
      </c>
      <c r="H47" s="19"/>
      <c r="I47" s="73"/>
      <c r="J47" s="73"/>
      <c r="L47" s="2" t="s">
        <v>1382</v>
      </c>
    </row>
    <row r="48" spans="1:12" s="2" customFormat="1" ht="13.5" customHeight="1">
      <c r="A48" s="413" t="s">
        <v>1672</v>
      </c>
      <c r="B48" s="413"/>
      <c r="C48" s="413"/>
      <c r="D48" s="413"/>
      <c r="E48" s="413"/>
      <c r="F48" s="413"/>
      <c r="G48" s="15">
        <v>38</v>
      </c>
      <c r="H48" s="19"/>
      <c r="I48" s="73"/>
      <c r="J48" s="73"/>
      <c r="L48" s="2" t="s">
        <v>1382</v>
      </c>
    </row>
    <row r="49" spans="1:12" s="2" customFormat="1" ht="13.5" customHeight="1">
      <c r="A49" s="409" t="s">
        <v>27</v>
      </c>
      <c r="B49" s="409"/>
      <c r="C49" s="409"/>
      <c r="D49" s="409"/>
      <c r="E49" s="409"/>
      <c r="F49" s="409"/>
      <c r="G49" s="15">
        <v>39</v>
      </c>
      <c r="H49" s="19"/>
      <c r="I49" s="82">
        <f>SUM(I45:I48)</f>
        <v>0</v>
      </c>
      <c r="J49" s="82">
        <f>SUM(J45:J48)</f>
        <v>0</v>
      </c>
      <c r="L49" s="2" t="s">
        <v>1382</v>
      </c>
    </row>
    <row r="50" spans="1:12" s="2" customFormat="1" ht="24.75" customHeight="1">
      <c r="A50" s="413" t="s">
        <v>1419</v>
      </c>
      <c r="B50" s="413"/>
      <c r="C50" s="413"/>
      <c r="D50" s="413"/>
      <c r="E50" s="413"/>
      <c r="F50" s="413"/>
      <c r="G50" s="15">
        <v>40</v>
      </c>
      <c r="H50" s="19"/>
      <c r="I50" s="73"/>
      <c r="J50" s="73"/>
      <c r="L50" s="2" t="s">
        <v>82</v>
      </c>
    </row>
    <row r="51" spans="1:12" s="2" customFormat="1" ht="13.5" customHeight="1">
      <c r="A51" s="413" t="s">
        <v>671</v>
      </c>
      <c r="B51" s="413"/>
      <c r="C51" s="413"/>
      <c r="D51" s="413"/>
      <c r="E51" s="413"/>
      <c r="F51" s="413"/>
      <c r="G51" s="15">
        <v>41</v>
      </c>
      <c r="H51" s="19"/>
      <c r="I51" s="73"/>
      <c r="J51" s="73"/>
      <c r="L51" s="2" t="s">
        <v>82</v>
      </c>
    </row>
    <row r="52" spans="1:12" s="2" customFormat="1" ht="13.5" customHeight="1">
      <c r="A52" s="413" t="s">
        <v>672</v>
      </c>
      <c r="B52" s="413"/>
      <c r="C52" s="413"/>
      <c r="D52" s="413"/>
      <c r="E52" s="413"/>
      <c r="F52" s="413"/>
      <c r="G52" s="15">
        <v>42</v>
      </c>
      <c r="H52" s="19"/>
      <c r="I52" s="73"/>
      <c r="J52" s="73"/>
      <c r="L52" s="2" t="s">
        <v>82</v>
      </c>
    </row>
    <row r="53" spans="1:12" s="2" customFormat="1" ht="13.5" customHeight="1">
      <c r="A53" s="413" t="s">
        <v>1420</v>
      </c>
      <c r="B53" s="413"/>
      <c r="C53" s="413"/>
      <c r="D53" s="413"/>
      <c r="E53" s="413"/>
      <c r="F53" s="413"/>
      <c r="G53" s="15">
        <v>43</v>
      </c>
      <c r="H53" s="19"/>
      <c r="I53" s="73"/>
      <c r="J53" s="73"/>
      <c r="L53" s="2" t="s">
        <v>82</v>
      </c>
    </row>
    <row r="54" spans="1:12" s="2" customFormat="1" ht="13.5" customHeight="1">
      <c r="A54" s="413" t="s">
        <v>885</v>
      </c>
      <c r="B54" s="413"/>
      <c r="C54" s="413"/>
      <c r="D54" s="413"/>
      <c r="E54" s="413"/>
      <c r="F54" s="413"/>
      <c r="G54" s="15">
        <v>44</v>
      </c>
      <c r="H54" s="19"/>
      <c r="I54" s="73"/>
      <c r="J54" s="73"/>
      <c r="L54" s="2" t="s">
        <v>82</v>
      </c>
    </row>
    <row r="55" spans="1:12" s="2" customFormat="1" ht="13.5" customHeight="1">
      <c r="A55" s="409" t="s">
        <v>886</v>
      </c>
      <c r="B55" s="409"/>
      <c r="C55" s="409"/>
      <c r="D55" s="409"/>
      <c r="E55" s="409"/>
      <c r="F55" s="409"/>
      <c r="G55" s="15">
        <v>45</v>
      </c>
      <c r="H55" s="19"/>
      <c r="I55" s="82">
        <f>SUM(I50:I54)</f>
        <v>0</v>
      </c>
      <c r="J55" s="82">
        <f>SUM(J50:J54)</f>
        <v>0</v>
      </c>
      <c r="L55" s="2" t="s">
        <v>82</v>
      </c>
    </row>
    <row r="56" spans="1:10" s="2" customFormat="1" ht="13.5" customHeight="1">
      <c r="A56" s="411" t="s">
        <v>2090</v>
      </c>
      <c r="B56" s="411"/>
      <c r="C56" s="411"/>
      <c r="D56" s="411"/>
      <c r="E56" s="411"/>
      <c r="F56" s="411"/>
      <c r="G56" s="15">
        <v>46</v>
      </c>
      <c r="H56" s="19"/>
      <c r="I56" s="82">
        <f>I49+I55</f>
        <v>0</v>
      </c>
      <c r="J56" s="82">
        <f>J49+J55</f>
        <v>0</v>
      </c>
    </row>
    <row r="57" spans="1:10" s="2" customFormat="1" ht="13.5" customHeight="1">
      <c r="A57" s="385" t="s">
        <v>1667</v>
      </c>
      <c r="B57" s="385"/>
      <c r="C57" s="385"/>
      <c r="D57" s="385"/>
      <c r="E57" s="385"/>
      <c r="F57" s="385"/>
      <c r="G57" s="15">
        <v>47</v>
      </c>
      <c r="H57" s="19"/>
      <c r="I57" s="73"/>
      <c r="J57" s="73"/>
    </row>
    <row r="58" spans="1:10" s="2" customFormat="1" ht="13.5" customHeight="1">
      <c r="A58" s="411" t="s">
        <v>1418</v>
      </c>
      <c r="B58" s="411"/>
      <c r="C58" s="411"/>
      <c r="D58" s="411"/>
      <c r="E58" s="411"/>
      <c r="F58" s="411"/>
      <c r="G58" s="15">
        <v>48</v>
      </c>
      <c r="H58" s="19"/>
      <c r="I58" s="82">
        <f>I28+I43+I56+I57</f>
        <v>0</v>
      </c>
      <c r="J58" s="82">
        <f>J28+J43+J56+J57</f>
        <v>0</v>
      </c>
    </row>
    <row r="59" spans="1:12" s="2" customFormat="1" ht="13.5" customHeight="1">
      <c r="A59" s="411" t="s">
        <v>1668</v>
      </c>
      <c r="B59" s="411"/>
      <c r="C59" s="411"/>
      <c r="D59" s="411"/>
      <c r="E59" s="411"/>
      <c r="F59" s="411"/>
      <c r="G59" s="15">
        <v>49</v>
      </c>
      <c r="H59" s="19"/>
      <c r="I59" s="73"/>
      <c r="J59" s="73"/>
      <c r="L59" s="2" t="s">
        <v>1382</v>
      </c>
    </row>
    <row r="60" spans="1:18" s="2" customFormat="1" ht="13.5" customHeight="1">
      <c r="A60" s="459" t="s">
        <v>1417</v>
      </c>
      <c r="B60" s="459"/>
      <c r="C60" s="459"/>
      <c r="D60" s="459"/>
      <c r="E60" s="459"/>
      <c r="F60" s="459"/>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37" t="s">
        <v>1782</v>
      </c>
      <c r="B2" s="438"/>
      <c r="C2" s="438"/>
      <c r="D2" s="438"/>
      <c r="E2" s="438"/>
      <c r="F2" s="438"/>
      <c r="G2" s="438"/>
      <c r="H2" s="438"/>
      <c r="I2" s="439"/>
      <c r="J2" s="389" t="s">
        <v>86</v>
      </c>
      <c r="Q2" s="70">
        <f>IF(OR(MIN(I8:I54)&lt;0,MAX(I8:I54)&gt;0),1,0)</f>
        <v>0</v>
      </c>
      <c r="R2" s="69" t="s">
        <v>77</v>
      </c>
    </row>
    <row r="3" spans="1:18" s="2" customFormat="1" ht="19.5" customHeight="1" thickBot="1">
      <c r="A3" s="440" t="str">
        <f>"u razdoblju "&amp;IF(RefStr!C4&lt;&gt;"",TEXT(RefStr!C4,"DD.MM.YYYY."),"__.__.____.")&amp;" do "&amp;IF(RefStr!F4&lt;&gt;"",TEXT(RefStr!F4,"DD.MM.YYYY."),"__.__.____.")</f>
        <v>u razdoblju 01.01.2021. do 31.12.2021.</v>
      </c>
      <c r="B3" s="441"/>
      <c r="C3" s="441"/>
      <c r="D3" s="441"/>
      <c r="E3" s="441"/>
      <c r="F3" s="441"/>
      <c r="G3" s="441"/>
      <c r="H3" s="441"/>
      <c r="I3" s="442"/>
      <c r="J3" s="443"/>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92143159456; PONIKVE USLUGA d.o.o.</v>
      </c>
      <c r="B5" s="398"/>
      <c r="C5" s="398"/>
      <c r="D5" s="398"/>
      <c r="E5" s="398"/>
      <c r="F5" s="398"/>
      <c r="G5" s="398"/>
      <c r="H5" s="398"/>
      <c r="I5" s="398"/>
      <c r="J5" s="399"/>
    </row>
    <row r="6" spans="1:10" s="2" customFormat="1" ht="24.75" customHeight="1" thickBot="1">
      <c r="A6" s="455" t="s">
        <v>2849</v>
      </c>
      <c r="B6" s="456"/>
      <c r="C6" s="456"/>
      <c r="D6" s="456"/>
      <c r="E6" s="456"/>
      <c r="F6" s="456"/>
      <c r="G6" s="94" t="s">
        <v>1309</v>
      </c>
      <c r="H6" s="98" t="s">
        <v>717</v>
      </c>
      <c r="I6" s="94" t="s">
        <v>1900</v>
      </c>
      <c r="J6" s="95" t="s">
        <v>1901</v>
      </c>
    </row>
    <row r="7" spans="1:10" s="2" customFormat="1" ht="13.5" customHeight="1">
      <c r="A7" s="457">
        <v>1</v>
      </c>
      <c r="B7" s="458"/>
      <c r="C7" s="458"/>
      <c r="D7" s="458"/>
      <c r="E7" s="458"/>
      <c r="F7" s="458"/>
      <c r="G7" s="113">
        <v>2</v>
      </c>
      <c r="H7" s="114">
        <v>3</v>
      </c>
      <c r="I7" s="115">
        <v>4</v>
      </c>
      <c r="J7" s="116">
        <v>5</v>
      </c>
    </row>
    <row r="8" spans="1:10" s="2" customFormat="1" ht="15" customHeight="1">
      <c r="A8" s="427" t="s">
        <v>2088</v>
      </c>
      <c r="B8" s="428"/>
      <c r="C8" s="428"/>
      <c r="D8" s="428"/>
      <c r="E8" s="428"/>
      <c r="F8" s="428"/>
      <c r="G8" s="428"/>
      <c r="H8" s="428"/>
      <c r="I8" s="428"/>
      <c r="J8" s="429"/>
    </row>
    <row r="9" spans="1:12" s="2" customFormat="1" ht="13.5" customHeight="1">
      <c r="A9" s="460" t="s">
        <v>2248</v>
      </c>
      <c r="B9" s="460"/>
      <c r="C9" s="460"/>
      <c r="D9" s="460"/>
      <c r="E9" s="460"/>
      <c r="F9" s="460"/>
      <c r="G9" s="88">
        <v>1</v>
      </c>
      <c r="H9" s="120"/>
      <c r="I9" s="90"/>
      <c r="J9" s="90"/>
      <c r="L9" s="2" t="s">
        <v>1382</v>
      </c>
    </row>
    <row r="10" spans="1:12" s="2" customFormat="1" ht="13.5" customHeight="1">
      <c r="A10" s="385" t="s">
        <v>2249</v>
      </c>
      <c r="B10" s="385"/>
      <c r="C10" s="385"/>
      <c r="D10" s="385"/>
      <c r="E10" s="385"/>
      <c r="F10" s="385"/>
      <c r="G10" s="15">
        <v>2</v>
      </c>
      <c r="H10" s="19"/>
      <c r="I10" s="73"/>
      <c r="J10" s="73"/>
      <c r="L10" s="2" t="s">
        <v>1382</v>
      </c>
    </row>
    <row r="11" spans="1:12" s="2" customFormat="1" ht="13.5" customHeight="1">
      <c r="A11" s="385" t="s">
        <v>2250</v>
      </c>
      <c r="B11" s="385"/>
      <c r="C11" s="385"/>
      <c r="D11" s="385"/>
      <c r="E11" s="385"/>
      <c r="F11" s="385"/>
      <c r="G11" s="15">
        <v>3</v>
      </c>
      <c r="H11" s="19"/>
      <c r="I11" s="73"/>
      <c r="J11" s="73"/>
      <c r="L11" s="2" t="s">
        <v>1382</v>
      </c>
    </row>
    <row r="12" spans="1:12" s="2" customFormat="1" ht="13.5" customHeight="1">
      <c r="A12" s="385" t="s">
        <v>2251</v>
      </c>
      <c r="B12" s="385"/>
      <c r="C12" s="385"/>
      <c r="D12" s="385"/>
      <c r="E12" s="385"/>
      <c r="F12" s="385"/>
      <c r="G12" s="15">
        <v>4</v>
      </c>
      <c r="H12" s="19"/>
      <c r="I12" s="73"/>
      <c r="J12" s="73"/>
      <c r="L12" s="2" t="s">
        <v>1382</v>
      </c>
    </row>
    <row r="13" spans="1:12" s="2" customFormat="1" ht="13.5" customHeight="1">
      <c r="A13" s="385" t="s">
        <v>2252</v>
      </c>
      <c r="B13" s="385"/>
      <c r="C13" s="385"/>
      <c r="D13" s="385"/>
      <c r="E13" s="385"/>
      <c r="F13" s="385"/>
      <c r="G13" s="15">
        <v>5</v>
      </c>
      <c r="H13" s="19"/>
      <c r="I13" s="73"/>
      <c r="J13" s="73"/>
      <c r="L13" s="2" t="s">
        <v>1382</v>
      </c>
    </row>
    <row r="14" spans="1:12" s="2" customFormat="1" ht="13.5" customHeight="1">
      <c r="A14" s="409" t="s">
        <v>2253</v>
      </c>
      <c r="B14" s="385"/>
      <c r="C14" s="385"/>
      <c r="D14" s="385"/>
      <c r="E14" s="385"/>
      <c r="F14" s="385"/>
      <c r="G14" s="15">
        <v>6</v>
      </c>
      <c r="H14" s="19"/>
      <c r="I14" s="82">
        <f>SUM(I9:I13)</f>
        <v>0</v>
      </c>
      <c r="J14" s="82">
        <f>SUM(J9:J13)</f>
        <v>0</v>
      </c>
      <c r="L14" s="2" t="s">
        <v>1382</v>
      </c>
    </row>
    <row r="15" spans="1:12" s="2" customFormat="1" ht="13.5" customHeight="1">
      <c r="A15" s="385" t="s">
        <v>2254</v>
      </c>
      <c r="B15" s="385"/>
      <c r="C15" s="385"/>
      <c r="D15" s="385"/>
      <c r="E15" s="385"/>
      <c r="F15" s="385"/>
      <c r="G15" s="15">
        <v>7</v>
      </c>
      <c r="H15" s="19"/>
      <c r="I15" s="73"/>
      <c r="J15" s="73"/>
      <c r="L15" s="2" t="s">
        <v>82</v>
      </c>
    </row>
    <row r="16" spans="1:12" s="2" customFormat="1" ht="13.5" customHeight="1">
      <c r="A16" s="385" t="s">
        <v>2255</v>
      </c>
      <c r="B16" s="385"/>
      <c r="C16" s="385"/>
      <c r="D16" s="385"/>
      <c r="E16" s="385"/>
      <c r="F16" s="385"/>
      <c r="G16" s="15">
        <v>8</v>
      </c>
      <c r="H16" s="19"/>
      <c r="I16" s="73"/>
      <c r="J16" s="73"/>
      <c r="L16" s="2" t="s">
        <v>82</v>
      </c>
    </row>
    <row r="17" spans="1:12" s="2" customFormat="1" ht="13.5" customHeight="1">
      <c r="A17" s="385" t="s">
        <v>2256</v>
      </c>
      <c r="B17" s="385"/>
      <c r="C17" s="385"/>
      <c r="D17" s="385"/>
      <c r="E17" s="385"/>
      <c r="F17" s="385"/>
      <c r="G17" s="15">
        <v>9</v>
      </c>
      <c r="H17" s="19"/>
      <c r="I17" s="73"/>
      <c r="J17" s="73"/>
      <c r="L17" s="2" t="s">
        <v>82</v>
      </c>
    </row>
    <row r="18" spans="1:12" s="2" customFormat="1" ht="13.5" customHeight="1">
      <c r="A18" s="385" t="s">
        <v>2257</v>
      </c>
      <c r="B18" s="385"/>
      <c r="C18" s="385"/>
      <c r="D18" s="385"/>
      <c r="E18" s="385"/>
      <c r="F18" s="385"/>
      <c r="G18" s="15">
        <v>10</v>
      </c>
      <c r="H18" s="19"/>
      <c r="I18" s="73"/>
      <c r="J18" s="73"/>
      <c r="L18" s="2" t="s">
        <v>82</v>
      </c>
    </row>
    <row r="19" spans="1:12" s="2" customFormat="1" ht="13.5" customHeight="1">
      <c r="A19" s="385" t="s">
        <v>2258</v>
      </c>
      <c r="B19" s="385"/>
      <c r="C19" s="385"/>
      <c r="D19" s="385"/>
      <c r="E19" s="385"/>
      <c r="F19" s="385"/>
      <c r="G19" s="15">
        <v>11</v>
      </c>
      <c r="H19" s="19"/>
      <c r="I19" s="73"/>
      <c r="J19" s="73"/>
      <c r="L19" s="2" t="s">
        <v>82</v>
      </c>
    </row>
    <row r="20" spans="1:12" s="2" customFormat="1" ht="13.5" customHeight="1">
      <c r="A20" s="385" t="s">
        <v>2247</v>
      </c>
      <c r="B20" s="385"/>
      <c r="C20" s="385"/>
      <c r="D20" s="385"/>
      <c r="E20" s="385"/>
      <c r="F20" s="385"/>
      <c r="G20" s="15">
        <v>12</v>
      </c>
      <c r="H20" s="19"/>
      <c r="I20" s="73"/>
      <c r="J20" s="73"/>
      <c r="L20" s="2" t="s">
        <v>82</v>
      </c>
    </row>
    <row r="21" spans="1:12" s="2" customFormat="1" ht="13.5" customHeight="1">
      <c r="A21" s="409" t="s">
        <v>2259</v>
      </c>
      <c r="B21" s="409"/>
      <c r="C21" s="409"/>
      <c r="D21" s="409"/>
      <c r="E21" s="409"/>
      <c r="F21" s="409"/>
      <c r="G21" s="15">
        <v>13</v>
      </c>
      <c r="H21" s="19"/>
      <c r="I21" s="82">
        <f>SUM(I15:I20)</f>
        <v>0</v>
      </c>
      <c r="J21" s="82">
        <f>SUM(J15:J20)</f>
        <v>0</v>
      </c>
      <c r="L21" s="2" t="s">
        <v>82</v>
      </c>
    </row>
    <row r="22" spans="1:10" s="2" customFormat="1" ht="15" customHeight="1">
      <c r="A22" s="459" t="s">
        <v>2814</v>
      </c>
      <c r="B22" s="459"/>
      <c r="C22" s="459"/>
      <c r="D22" s="459"/>
      <c r="E22" s="459"/>
      <c r="F22" s="459"/>
      <c r="G22" s="17">
        <v>14</v>
      </c>
      <c r="H22" s="20"/>
      <c r="I22" s="83">
        <f>I14+I21</f>
        <v>0</v>
      </c>
      <c r="J22" s="83">
        <f>J14+J21</f>
        <v>0</v>
      </c>
    </row>
    <row r="23" spans="1:10" s="2" customFormat="1" ht="13.5" customHeight="1">
      <c r="A23" s="427" t="s">
        <v>799</v>
      </c>
      <c r="B23" s="428"/>
      <c r="C23" s="428"/>
      <c r="D23" s="428"/>
      <c r="E23" s="428"/>
      <c r="F23" s="428"/>
      <c r="G23" s="428"/>
      <c r="H23" s="428"/>
      <c r="I23" s="428"/>
      <c r="J23" s="429"/>
    </row>
    <row r="24" spans="1:12" s="2" customFormat="1" ht="15" customHeight="1">
      <c r="A24" s="430" t="s">
        <v>2793</v>
      </c>
      <c r="B24" s="430"/>
      <c r="C24" s="430"/>
      <c r="D24" s="430"/>
      <c r="E24" s="430"/>
      <c r="F24" s="430"/>
      <c r="G24" s="88">
        <v>15</v>
      </c>
      <c r="H24" s="120"/>
      <c r="I24" s="90"/>
      <c r="J24" s="90"/>
      <c r="L24" s="2" t="s">
        <v>1382</v>
      </c>
    </row>
    <row r="25" spans="1:12" s="2" customFormat="1" ht="13.5" customHeight="1">
      <c r="A25" s="413" t="s">
        <v>2794</v>
      </c>
      <c r="B25" s="413"/>
      <c r="C25" s="413"/>
      <c r="D25" s="413"/>
      <c r="E25" s="413"/>
      <c r="F25" s="413"/>
      <c r="G25" s="15">
        <v>16</v>
      </c>
      <c r="H25" s="19"/>
      <c r="I25" s="73"/>
      <c r="J25" s="73"/>
      <c r="L25" s="2" t="s">
        <v>1382</v>
      </c>
    </row>
    <row r="26" spans="1:12" s="2" customFormat="1" ht="13.5" customHeight="1">
      <c r="A26" s="413" t="s">
        <v>2795</v>
      </c>
      <c r="B26" s="413"/>
      <c r="C26" s="413"/>
      <c r="D26" s="413"/>
      <c r="E26" s="413"/>
      <c r="F26" s="413"/>
      <c r="G26" s="15">
        <v>17</v>
      </c>
      <c r="H26" s="19"/>
      <c r="I26" s="73"/>
      <c r="J26" s="73"/>
      <c r="L26" s="2" t="s">
        <v>1382</v>
      </c>
    </row>
    <row r="27" spans="1:12" s="2" customFormat="1" ht="13.5" customHeight="1">
      <c r="A27" s="413" t="s">
        <v>2327</v>
      </c>
      <c r="B27" s="413"/>
      <c r="C27" s="413"/>
      <c r="D27" s="413"/>
      <c r="E27" s="413"/>
      <c r="F27" s="413"/>
      <c r="G27" s="15">
        <v>18</v>
      </c>
      <c r="H27" s="19"/>
      <c r="I27" s="73"/>
      <c r="J27" s="73"/>
      <c r="L27" s="2" t="s">
        <v>1382</v>
      </c>
    </row>
    <row r="28" spans="1:12" s="2" customFormat="1" ht="13.5" customHeight="1">
      <c r="A28" s="413" t="s">
        <v>994</v>
      </c>
      <c r="B28" s="413"/>
      <c r="C28" s="413"/>
      <c r="D28" s="413"/>
      <c r="E28" s="413"/>
      <c r="F28" s="413"/>
      <c r="G28" s="15">
        <v>19</v>
      </c>
      <c r="H28" s="19"/>
      <c r="I28" s="73"/>
      <c r="J28" s="73"/>
      <c r="L28" s="2" t="s">
        <v>1382</v>
      </c>
    </row>
    <row r="29" spans="1:12" s="2" customFormat="1" ht="13.5" customHeight="1">
      <c r="A29" s="413" t="s">
        <v>2326</v>
      </c>
      <c r="B29" s="413"/>
      <c r="C29" s="413"/>
      <c r="D29" s="413"/>
      <c r="E29" s="413"/>
      <c r="F29" s="413"/>
      <c r="G29" s="15">
        <v>20</v>
      </c>
      <c r="H29" s="19"/>
      <c r="I29" s="73"/>
      <c r="J29" s="73"/>
      <c r="L29" s="2" t="s">
        <v>1382</v>
      </c>
    </row>
    <row r="30" spans="1:12" s="2" customFormat="1" ht="15" customHeight="1">
      <c r="A30" s="409" t="s">
        <v>2260</v>
      </c>
      <c r="B30" s="409"/>
      <c r="C30" s="409"/>
      <c r="D30" s="409"/>
      <c r="E30" s="409"/>
      <c r="F30" s="409"/>
      <c r="G30" s="15">
        <v>21</v>
      </c>
      <c r="H30" s="19"/>
      <c r="I30" s="82">
        <f>SUM(I24:I29)</f>
        <v>0</v>
      </c>
      <c r="J30" s="82">
        <f>SUM(J24:J29)</f>
        <v>0</v>
      </c>
      <c r="L30" s="2" t="s">
        <v>1382</v>
      </c>
    </row>
    <row r="31" spans="1:12" s="2" customFormat="1" ht="15" customHeight="1">
      <c r="A31" s="413" t="s">
        <v>995</v>
      </c>
      <c r="B31" s="413"/>
      <c r="C31" s="413"/>
      <c r="D31" s="413"/>
      <c r="E31" s="413"/>
      <c r="F31" s="413"/>
      <c r="G31" s="15">
        <v>22</v>
      </c>
      <c r="H31" s="19"/>
      <c r="I31" s="73"/>
      <c r="J31" s="73"/>
      <c r="L31" s="2" t="s">
        <v>82</v>
      </c>
    </row>
    <row r="32" spans="1:12" s="2" customFormat="1" ht="13.5" customHeight="1">
      <c r="A32" s="413" t="s">
        <v>996</v>
      </c>
      <c r="B32" s="413"/>
      <c r="C32" s="413"/>
      <c r="D32" s="413"/>
      <c r="E32" s="413"/>
      <c r="F32" s="413"/>
      <c r="G32" s="15">
        <v>23</v>
      </c>
      <c r="H32" s="19"/>
      <c r="I32" s="73"/>
      <c r="J32" s="73"/>
      <c r="L32" s="2" t="s">
        <v>82</v>
      </c>
    </row>
    <row r="33" spans="1:12" s="2" customFormat="1" ht="13.5" customHeight="1">
      <c r="A33" s="413" t="s">
        <v>997</v>
      </c>
      <c r="B33" s="413"/>
      <c r="C33" s="413"/>
      <c r="D33" s="413"/>
      <c r="E33" s="413"/>
      <c r="F33" s="413"/>
      <c r="G33" s="15">
        <v>24</v>
      </c>
      <c r="H33" s="19"/>
      <c r="I33" s="73"/>
      <c r="J33" s="73"/>
      <c r="L33" s="2" t="s">
        <v>82</v>
      </c>
    </row>
    <row r="34" spans="1:10" s="2" customFormat="1" ht="13.5" customHeight="1">
      <c r="A34" s="413" t="s">
        <v>998</v>
      </c>
      <c r="B34" s="413"/>
      <c r="C34" s="413"/>
      <c r="D34" s="413"/>
      <c r="E34" s="413"/>
      <c r="F34" s="413"/>
      <c r="G34" s="15">
        <v>25</v>
      </c>
      <c r="H34" s="19"/>
      <c r="I34" s="73"/>
      <c r="J34" s="73"/>
    </row>
    <row r="35" spans="1:12" s="2" customFormat="1" ht="13.5" customHeight="1">
      <c r="A35" s="413" t="s">
        <v>999</v>
      </c>
      <c r="B35" s="413"/>
      <c r="C35" s="413"/>
      <c r="D35" s="413"/>
      <c r="E35" s="413"/>
      <c r="F35" s="413"/>
      <c r="G35" s="15">
        <v>26</v>
      </c>
      <c r="H35" s="19"/>
      <c r="I35" s="73"/>
      <c r="J35" s="73"/>
      <c r="L35" s="2" t="s">
        <v>82</v>
      </c>
    </row>
    <row r="36" spans="1:12" s="2" customFormat="1" ht="15" customHeight="1">
      <c r="A36" s="409" t="s">
        <v>2261</v>
      </c>
      <c r="B36" s="409"/>
      <c r="C36" s="409"/>
      <c r="D36" s="409"/>
      <c r="E36" s="409"/>
      <c r="F36" s="409"/>
      <c r="G36" s="15">
        <v>27</v>
      </c>
      <c r="H36" s="19"/>
      <c r="I36" s="82">
        <f>SUM(I31:I35)</f>
        <v>0</v>
      </c>
      <c r="J36" s="82">
        <f>SUM(J31:J35)</f>
        <v>0</v>
      </c>
      <c r="L36" s="2" t="s">
        <v>82</v>
      </c>
    </row>
    <row r="37" spans="1:10" s="2" customFormat="1" ht="15" customHeight="1">
      <c r="A37" s="459" t="s">
        <v>2262</v>
      </c>
      <c r="B37" s="459"/>
      <c r="C37" s="459"/>
      <c r="D37" s="459"/>
      <c r="E37" s="459"/>
      <c r="F37" s="459"/>
      <c r="G37" s="17">
        <v>28</v>
      </c>
      <c r="H37" s="20"/>
      <c r="I37" s="83">
        <f>I30+I36</f>
        <v>0</v>
      </c>
      <c r="J37" s="83">
        <f>J30+J36</f>
        <v>0</v>
      </c>
    </row>
    <row r="38" spans="1:10" s="2" customFormat="1" ht="13.5" customHeight="1">
      <c r="A38" s="427" t="s">
        <v>1666</v>
      </c>
      <c r="B38" s="428"/>
      <c r="C38" s="428"/>
      <c r="D38" s="428"/>
      <c r="E38" s="428"/>
      <c r="F38" s="428"/>
      <c r="G38" s="428">
        <v>0</v>
      </c>
      <c r="H38" s="428"/>
      <c r="I38" s="428"/>
      <c r="J38" s="429"/>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5" t="s">
        <v>1389</v>
      </c>
      <c r="B40" s="385"/>
      <c r="C40" s="385"/>
      <c r="D40" s="385"/>
      <c r="E40" s="385"/>
      <c r="F40" s="385"/>
      <c r="G40" s="15">
        <v>30</v>
      </c>
      <c r="H40" s="19"/>
      <c r="I40" s="73"/>
      <c r="J40" s="73"/>
      <c r="L40" s="2" t="s">
        <v>1382</v>
      </c>
    </row>
    <row r="41" spans="1:12" s="2" customFormat="1" ht="13.5" customHeight="1">
      <c r="A41" s="385" t="s">
        <v>1390</v>
      </c>
      <c r="B41" s="385"/>
      <c r="C41" s="385"/>
      <c r="D41" s="385"/>
      <c r="E41" s="385"/>
      <c r="F41" s="385"/>
      <c r="G41" s="15">
        <v>31</v>
      </c>
      <c r="H41" s="19"/>
      <c r="I41" s="73"/>
      <c r="J41" s="73"/>
      <c r="L41" s="2" t="s">
        <v>1382</v>
      </c>
    </row>
    <row r="42" spans="1:12" s="2" customFormat="1" ht="13.5" customHeight="1">
      <c r="A42" s="385" t="s">
        <v>1391</v>
      </c>
      <c r="B42" s="385"/>
      <c r="C42" s="385"/>
      <c r="D42" s="385"/>
      <c r="E42" s="385"/>
      <c r="F42" s="385"/>
      <c r="G42" s="15">
        <v>32</v>
      </c>
      <c r="H42" s="19"/>
      <c r="I42" s="73"/>
      <c r="J42" s="73"/>
      <c r="L42" s="2" t="s">
        <v>1382</v>
      </c>
    </row>
    <row r="43" spans="1:12" s="2" customFormat="1" ht="15" customHeight="1">
      <c r="A43" s="409" t="s">
        <v>2263</v>
      </c>
      <c r="B43" s="409"/>
      <c r="C43" s="409"/>
      <c r="D43" s="409"/>
      <c r="E43" s="409"/>
      <c r="F43" s="409"/>
      <c r="G43" s="15">
        <v>33</v>
      </c>
      <c r="H43" s="19"/>
      <c r="I43" s="82">
        <f>SUM(I39:I42)</f>
        <v>0</v>
      </c>
      <c r="J43" s="82">
        <f>SUM(J39:J42)</f>
        <v>0</v>
      </c>
      <c r="L43" s="2" t="s">
        <v>1382</v>
      </c>
    </row>
    <row r="44" spans="1:12" s="2" customFormat="1" ht="25.5" customHeight="1">
      <c r="A44" s="385" t="s">
        <v>1392</v>
      </c>
      <c r="B44" s="385"/>
      <c r="C44" s="385"/>
      <c r="D44" s="385"/>
      <c r="E44" s="385"/>
      <c r="F44" s="385"/>
      <c r="G44" s="15">
        <v>34</v>
      </c>
      <c r="H44" s="19"/>
      <c r="I44" s="73"/>
      <c r="J44" s="73"/>
      <c r="L44" s="2" t="s">
        <v>82</v>
      </c>
    </row>
    <row r="45" spans="1:12" s="2" customFormat="1" ht="13.5" customHeight="1">
      <c r="A45" s="385" t="s">
        <v>1393</v>
      </c>
      <c r="B45" s="385"/>
      <c r="C45" s="385"/>
      <c r="D45" s="385"/>
      <c r="E45" s="385"/>
      <c r="F45" s="385"/>
      <c r="G45" s="15">
        <v>35</v>
      </c>
      <c r="H45" s="19"/>
      <c r="I45" s="73"/>
      <c r="J45" s="73"/>
      <c r="L45" s="2" t="s">
        <v>82</v>
      </c>
    </row>
    <row r="46" spans="1:12" s="2" customFormat="1" ht="13.5" customHeight="1">
      <c r="A46" s="385" t="s">
        <v>1394</v>
      </c>
      <c r="B46" s="385"/>
      <c r="C46" s="385"/>
      <c r="D46" s="385"/>
      <c r="E46" s="385"/>
      <c r="F46" s="385"/>
      <c r="G46" s="15">
        <v>36</v>
      </c>
      <c r="H46" s="19"/>
      <c r="I46" s="73"/>
      <c r="J46" s="73"/>
      <c r="L46" s="2" t="s">
        <v>82</v>
      </c>
    </row>
    <row r="47" spans="1:12" s="2" customFormat="1" ht="25.5" customHeight="1">
      <c r="A47" s="385" t="s">
        <v>2536</v>
      </c>
      <c r="B47" s="385"/>
      <c r="C47" s="385"/>
      <c r="D47" s="385"/>
      <c r="E47" s="385"/>
      <c r="F47" s="385"/>
      <c r="G47" s="15">
        <v>37</v>
      </c>
      <c r="H47" s="19"/>
      <c r="I47" s="73"/>
      <c r="J47" s="73"/>
      <c r="L47" s="2" t="s">
        <v>82</v>
      </c>
    </row>
    <row r="48" spans="1:12" s="2" customFormat="1" ht="13.5" customHeight="1">
      <c r="A48" s="385" t="s">
        <v>1896</v>
      </c>
      <c r="B48" s="385"/>
      <c r="C48" s="385"/>
      <c r="D48" s="385"/>
      <c r="E48" s="385"/>
      <c r="F48" s="385"/>
      <c r="G48" s="15">
        <v>38</v>
      </c>
      <c r="H48" s="19"/>
      <c r="I48" s="73"/>
      <c r="J48" s="73"/>
      <c r="L48" s="2" t="s">
        <v>82</v>
      </c>
    </row>
    <row r="49" spans="1:12" s="2" customFormat="1" ht="15" customHeight="1">
      <c r="A49" s="409" t="s">
        <v>2264</v>
      </c>
      <c r="B49" s="409"/>
      <c r="C49" s="409"/>
      <c r="D49" s="409"/>
      <c r="E49" s="409"/>
      <c r="F49" s="409"/>
      <c r="G49" s="15">
        <v>39</v>
      </c>
      <c r="H49" s="19"/>
      <c r="I49" s="82">
        <f>SUM(I44:I48)</f>
        <v>0</v>
      </c>
      <c r="J49" s="82">
        <f>SUM(J44:J48)</f>
        <v>0</v>
      </c>
      <c r="L49" s="2" t="s">
        <v>82</v>
      </c>
    </row>
    <row r="50" spans="1:10" s="2" customFormat="1" ht="15" customHeight="1">
      <c r="A50" s="411" t="s">
        <v>2265</v>
      </c>
      <c r="B50" s="411"/>
      <c r="C50" s="411"/>
      <c r="D50" s="411"/>
      <c r="E50" s="411"/>
      <c r="F50" s="411"/>
      <c r="G50" s="15">
        <v>40</v>
      </c>
      <c r="H50" s="19"/>
      <c r="I50" s="82">
        <f>I43+I49</f>
        <v>0</v>
      </c>
      <c r="J50" s="82">
        <f>J43+J49</f>
        <v>0</v>
      </c>
    </row>
    <row r="51" spans="1:10" s="2" customFormat="1" ht="13.5" customHeight="1">
      <c r="A51" s="413" t="s">
        <v>2796</v>
      </c>
      <c r="B51" s="413"/>
      <c r="C51" s="413"/>
      <c r="D51" s="413"/>
      <c r="E51" s="413"/>
      <c r="F51" s="413"/>
      <c r="G51" s="15">
        <v>41</v>
      </c>
      <c r="H51" s="19"/>
      <c r="I51" s="73"/>
      <c r="J51" s="73"/>
    </row>
    <row r="52" spans="1:10" s="2" customFormat="1" ht="25.5" customHeight="1">
      <c r="A52" s="411" t="s">
        <v>2266</v>
      </c>
      <c r="B52" s="411"/>
      <c r="C52" s="411"/>
      <c r="D52" s="411"/>
      <c r="E52" s="411"/>
      <c r="F52" s="411"/>
      <c r="G52" s="15">
        <v>42</v>
      </c>
      <c r="H52" s="19"/>
      <c r="I52" s="82">
        <f>I22+I37+I50+I51</f>
        <v>0</v>
      </c>
      <c r="J52" s="82">
        <f>J22+J37+J50+J51</f>
        <v>0</v>
      </c>
    </row>
    <row r="53" spans="1:12" s="2" customFormat="1" ht="13.5" customHeight="1">
      <c r="A53" s="411" t="s">
        <v>1668</v>
      </c>
      <c r="B53" s="411"/>
      <c r="C53" s="411"/>
      <c r="D53" s="411"/>
      <c r="E53" s="411"/>
      <c r="F53" s="411"/>
      <c r="G53" s="15">
        <v>43</v>
      </c>
      <c r="H53" s="19"/>
      <c r="I53" s="73"/>
      <c r="J53" s="73"/>
      <c r="L53" s="2" t="s">
        <v>1382</v>
      </c>
    </row>
    <row r="54" spans="1:12" s="2" customFormat="1" ht="13.5" customHeight="1">
      <c r="A54" s="459" t="s">
        <v>2267</v>
      </c>
      <c r="B54" s="459"/>
      <c r="C54" s="459"/>
      <c r="D54" s="459"/>
      <c r="E54" s="459"/>
      <c r="F54" s="459"/>
      <c r="G54" s="17">
        <v>44</v>
      </c>
      <c r="H54" s="20"/>
      <c r="I54" s="83">
        <f>I52+I53</f>
        <v>0</v>
      </c>
      <c r="J54" s="83">
        <f>J52+J53</f>
        <v>0</v>
      </c>
      <c r="L54" s="2" t="s">
        <v>1382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4:F24"/>
    <mergeCell ref="A21:F21"/>
    <mergeCell ref="A19:F19"/>
    <mergeCell ref="A30:F30"/>
    <mergeCell ref="A31:F31"/>
    <mergeCell ref="A28:F28"/>
    <mergeCell ref="A29:F29"/>
    <mergeCell ref="A20:F20"/>
    <mergeCell ref="A37:F37"/>
    <mergeCell ref="A39:F39"/>
    <mergeCell ref="A38:J38"/>
    <mergeCell ref="A50:F50"/>
    <mergeCell ref="A40:F40"/>
    <mergeCell ref="A48:F48"/>
    <mergeCell ref="A46:F46"/>
    <mergeCell ref="A52:F52"/>
    <mergeCell ref="A49:F49"/>
    <mergeCell ref="A47:F47"/>
    <mergeCell ref="A54:F54"/>
    <mergeCell ref="A44:F44"/>
    <mergeCell ref="A45:F45"/>
    <mergeCell ref="A36:F36"/>
    <mergeCell ref="A34:F34"/>
    <mergeCell ref="A35:F35"/>
    <mergeCell ref="A32:F32"/>
    <mergeCell ref="A33:F33"/>
    <mergeCell ref="A53:F53"/>
    <mergeCell ref="A43:F43"/>
    <mergeCell ref="A41:F41"/>
    <mergeCell ref="A42:F42"/>
    <mergeCell ref="A51:F51"/>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70" t="s">
        <v>2039</v>
      </c>
      <c r="B2" s="470"/>
      <c r="C2" s="470"/>
      <c r="D2" s="470"/>
      <c r="E2" s="470"/>
      <c r="F2" s="470"/>
      <c r="G2" s="471"/>
      <c r="H2" s="471"/>
      <c r="I2" s="131"/>
      <c r="J2" s="131"/>
      <c r="K2" s="131"/>
      <c r="L2" s="131"/>
      <c r="M2" s="131"/>
      <c r="N2" s="131"/>
      <c r="O2" s="132"/>
      <c r="P2" s="389" t="s">
        <v>87</v>
      </c>
      <c r="Q2" s="474"/>
      <c r="R2" s="474"/>
      <c r="S2" s="474"/>
      <c r="T2" s="474"/>
      <c r="U2" s="474"/>
      <c r="V2" s="474"/>
      <c r="W2" s="474"/>
      <c r="X2" s="474"/>
      <c r="Y2" s="475"/>
      <c r="Z2" s="389" t="s">
        <v>87</v>
      </c>
      <c r="AC2" s="3">
        <f>IF(OR(MAX(H10:Z33)&lt;&gt;0,MIN(H10:Z33)&lt;&gt;0),1,0)</f>
        <v>0</v>
      </c>
      <c r="AD2" s="3" t="s">
        <v>89</v>
      </c>
    </row>
    <row r="3" spans="1:30" s="3" customFormat="1" ht="19.5" customHeight="1" thickBot="1">
      <c r="A3" s="486" t="str">
        <f>"za razdoblje od "&amp;IF(RefStr!C4&lt;&gt;"",TEXT(RefStr!C4,"DD.MM.YYYY."),"__.__.____.")&amp;" do "&amp;IF(RefStr!F4&lt;&gt;"",TEXT(RefStr!F4,"DD.MM.YYYY."),"__.__.____.")</f>
        <v>za razdoblje od 01.01.2021. do 31.12.2021.</v>
      </c>
      <c r="B3" s="486"/>
      <c r="C3" s="486"/>
      <c r="D3" s="486"/>
      <c r="E3" s="486"/>
      <c r="F3" s="486"/>
      <c r="G3" s="487"/>
      <c r="H3" s="487"/>
      <c r="I3" s="131"/>
      <c r="J3" s="131"/>
      <c r="K3" s="131"/>
      <c r="L3" s="131"/>
      <c r="M3" s="131"/>
      <c r="N3" s="131"/>
      <c r="O3" s="132"/>
      <c r="P3" s="443"/>
      <c r="Q3" s="474"/>
      <c r="R3" s="474"/>
      <c r="S3" s="474"/>
      <c r="T3" s="474"/>
      <c r="U3" s="474"/>
      <c r="V3" s="474"/>
      <c r="W3" s="474"/>
      <c r="X3" s="474"/>
      <c r="Y3" s="475"/>
      <c r="Z3" s="469"/>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9" t="str">
        <f>"Obveznik: "&amp;IF(RefStr!C27&lt;&gt;"",RefStr!C27,"________")&amp;"; "&amp;IF(RefStr!C29&lt;&gt;"",RefStr!C29,"________________________________________________________"&amp;"; "&amp;IF(RefStr!F31&lt;&gt;"",RefStr!F31,"_______________"))</f>
        <v>Obveznik: 92143159456; PONIKVE USLUGA d.o.o.</v>
      </c>
      <c r="B5" s="480"/>
      <c r="C5" s="480"/>
      <c r="D5" s="480"/>
      <c r="E5" s="480"/>
      <c r="F5" s="480"/>
      <c r="G5" s="480"/>
      <c r="H5" s="480"/>
      <c r="I5" s="480"/>
      <c r="J5" s="480"/>
      <c r="K5" s="480"/>
      <c r="L5" s="480"/>
      <c r="M5" s="480"/>
      <c r="N5" s="480"/>
      <c r="O5" s="481"/>
      <c r="P5" s="481"/>
      <c r="Q5" s="481"/>
      <c r="R5" s="481"/>
      <c r="S5" s="481"/>
      <c r="T5" s="481"/>
      <c r="U5" s="481"/>
      <c r="V5" s="481"/>
      <c r="W5" s="481"/>
      <c r="X5" s="481"/>
      <c r="Y5" s="481"/>
      <c r="Z5" s="482"/>
      <c r="AC5" s="3">
        <f>IF(OR(MAX(Y10:Y33)&lt;&gt;0,MIN(Y10:Y33)&lt;&gt;0),1,0)</f>
        <v>0</v>
      </c>
      <c r="AD5" s="12" t="s">
        <v>1509</v>
      </c>
    </row>
    <row r="6" spans="1:30" s="3" customFormat="1" ht="15" customHeight="1" thickBot="1">
      <c r="A6" s="455" t="s">
        <v>1293</v>
      </c>
      <c r="B6" s="465"/>
      <c r="C6" s="465"/>
      <c r="D6" s="465"/>
      <c r="E6" s="465"/>
      <c r="F6" s="465"/>
      <c r="G6" s="456" t="s">
        <v>1309</v>
      </c>
      <c r="H6" s="401" t="s">
        <v>717</v>
      </c>
      <c r="I6" s="456" t="s">
        <v>1291</v>
      </c>
      <c r="J6" s="456"/>
      <c r="K6" s="456"/>
      <c r="L6" s="456"/>
      <c r="M6" s="456"/>
      <c r="N6" s="456"/>
      <c r="O6" s="456"/>
      <c r="P6" s="456"/>
      <c r="Q6" s="456"/>
      <c r="R6" s="456"/>
      <c r="S6" s="456"/>
      <c r="T6" s="456"/>
      <c r="U6" s="456"/>
      <c r="V6" s="456"/>
      <c r="W6" s="456"/>
      <c r="X6" s="456"/>
      <c r="Y6" s="456" t="s">
        <v>90</v>
      </c>
      <c r="Z6" s="463" t="s">
        <v>1292</v>
      </c>
      <c r="AC6" s="3">
        <f>IF(OR(MAX(Y39:Y62)&lt;&gt;0,MIN(Y39:Y62)&lt;&gt;0),1,0)</f>
        <v>0</v>
      </c>
      <c r="AD6" s="12" t="s">
        <v>2604</v>
      </c>
    </row>
    <row r="7" spans="1:30" s="3" customFormat="1" ht="67.5" customHeight="1" thickBot="1">
      <c r="A7" s="466"/>
      <c r="B7" s="467"/>
      <c r="C7" s="467"/>
      <c r="D7" s="467"/>
      <c r="E7" s="467"/>
      <c r="F7" s="467"/>
      <c r="G7" s="468"/>
      <c r="H7" s="468"/>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68"/>
      <c r="Z7" s="464"/>
      <c r="AC7" s="3">
        <f>IF(RefStr!N19="MSFI",1,0)</f>
        <v>0</v>
      </c>
      <c r="AD7" s="12" t="s">
        <v>2196</v>
      </c>
    </row>
    <row r="8" spans="1:26" s="3" customFormat="1" ht="23.25" customHeight="1">
      <c r="A8" s="472">
        <v>1</v>
      </c>
      <c r="B8" s="473"/>
      <c r="C8" s="473"/>
      <c r="D8" s="473"/>
      <c r="E8" s="473"/>
      <c r="F8" s="473"/>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6" t="s">
        <v>1294</v>
      </c>
      <c r="B9" s="476"/>
      <c r="C9" s="476"/>
      <c r="D9" s="476"/>
      <c r="E9" s="476"/>
      <c r="F9" s="476"/>
      <c r="G9" s="476"/>
      <c r="H9" s="476"/>
      <c r="I9" s="476"/>
      <c r="J9" s="476"/>
      <c r="K9" s="476"/>
      <c r="L9" s="476"/>
      <c r="M9" s="476"/>
      <c r="N9" s="476"/>
      <c r="O9" s="477"/>
      <c r="P9" s="477"/>
      <c r="Q9" s="477"/>
      <c r="R9" s="477"/>
      <c r="S9" s="477"/>
      <c r="T9" s="477"/>
      <c r="U9" s="477"/>
      <c r="V9" s="477"/>
      <c r="W9" s="477"/>
      <c r="X9" s="477"/>
      <c r="Y9" s="477"/>
      <c r="Z9" s="478"/>
      <c r="AD9" s="134"/>
      <c r="AE9" s="135"/>
      <c r="AF9" s="134"/>
      <c r="AG9" s="135"/>
    </row>
    <row r="10" spans="1:33" s="3" customFormat="1" ht="13.5" customHeight="1">
      <c r="A10" s="462" t="s">
        <v>1174</v>
      </c>
      <c r="B10" s="462"/>
      <c r="C10" s="462"/>
      <c r="D10" s="462"/>
      <c r="E10" s="462"/>
      <c r="F10" s="462"/>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1175</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1176</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2" t="s">
        <v>1177</v>
      </c>
      <c r="B13" s="462"/>
      <c r="C13" s="462"/>
      <c r="D13" s="462"/>
      <c r="E13" s="462"/>
      <c r="F13" s="462"/>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1178</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1179</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1401</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1402</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1403</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1184</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1404</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1819</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1820</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1821</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1405</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1416</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1406</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1822</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2272</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2273</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1162</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1163</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1161</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3" t="s">
        <v>1164</v>
      </c>
      <c r="B33" s="483"/>
      <c r="C33" s="483"/>
      <c r="D33" s="483"/>
      <c r="E33" s="483"/>
      <c r="F33" s="48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4" t="s">
        <v>2024</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D34" s="134"/>
      <c r="AE34" s="135"/>
      <c r="AF34" s="134"/>
      <c r="AG34" s="135"/>
    </row>
    <row r="35" spans="1:26" ht="24" customHeight="1">
      <c r="A35" s="488" t="s">
        <v>1165</v>
      </c>
      <c r="B35" s="488"/>
      <c r="C35" s="488"/>
      <c r="D35" s="488"/>
      <c r="E35" s="488"/>
      <c r="F35" s="488"/>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8" t="s">
        <v>1166</v>
      </c>
      <c r="B36" s="488"/>
      <c r="C36" s="488"/>
      <c r="D36" s="488"/>
      <c r="E36" s="488"/>
      <c r="F36" s="488"/>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89" t="s">
        <v>1407</v>
      </c>
      <c r="B37" s="489"/>
      <c r="C37" s="489"/>
      <c r="D37" s="489"/>
      <c r="E37" s="489"/>
      <c r="F37" s="489"/>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4" t="s">
        <v>1308</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D38" s="134"/>
      <c r="AE38" s="135"/>
      <c r="AF38" s="134"/>
      <c r="AG38" s="135"/>
    </row>
    <row r="39" spans="1:30" ht="13.5" customHeight="1">
      <c r="A39" s="462" t="s">
        <v>1408</v>
      </c>
      <c r="B39" s="462"/>
      <c r="C39" s="462"/>
      <c r="D39" s="462"/>
      <c r="E39" s="462"/>
      <c r="F39" s="462"/>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1175</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1176</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2" t="s">
        <v>1409</v>
      </c>
      <c r="B42" s="462"/>
      <c r="C42" s="462"/>
      <c r="D42" s="462"/>
      <c r="E42" s="462"/>
      <c r="F42" s="462"/>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1178</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1179</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1410</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1402</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1403</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1184</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1411</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1819</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1820</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1821</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1405</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1412</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1413</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1822</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2272</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1167</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1168</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1169</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1161</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3" t="s">
        <v>1170</v>
      </c>
      <c r="B62" s="483"/>
      <c r="C62" s="483"/>
      <c r="D62" s="483"/>
      <c r="E62" s="483"/>
      <c r="F62" s="48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4" t="s">
        <v>2024</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D63" s="134"/>
      <c r="AE63" s="135"/>
      <c r="AF63" s="134"/>
      <c r="AG63" s="135"/>
    </row>
    <row r="64" spans="1:30" ht="24" customHeight="1">
      <c r="A64" s="488" t="s">
        <v>1171</v>
      </c>
      <c r="B64" s="488"/>
      <c r="C64" s="488"/>
      <c r="D64" s="488"/>
      <c r="E64" s="488"/>
      <c r="F64" s="488"/>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8" t="s">
        <v>1172</v>
      </c>
      <c r="B65" s="488"/>
      <c r="C65" s="488"/>
      <c r="D65" s="488"/>
      <c r="E65" s="488"/>
      <c r="F65" s="488"/>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89" t="s">
        <v>1173</v>
      </c>
      <c r="B66" s="489"/>
      <c r="C66" s="489"/>
      <c r="D66" s="489"/>
      <c r="E66" s="489"/>
      <c r="F66" s="489"/>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66:F66"/>
    <mergeCell ref="A61:F61"/>
    <mergeCell ref="A62:F62"/>
    <mergeCell ref="A64:F64"/>
    <mergeCell ref="A65:F65"/>
    <mergeCell ref="A63:Z63"/>
    <mergeCell ref="A56:F56"/>
    <mergeCell ref="A58:F58"/>
    <mergeCell ref="A59:F59"/>
    <mergeCell ref="A60:F60"/>
    <mergeCell ref="A28:F28"/>
    <mergeCell ref="A57:F57"/>
    <mergeCell ref="A52:F52"/>
    <mergeCell ref="A53:F53"/>
    <mergeCell ref="A46:F46"/>
    <mergeCell ref="A47:F47"/>
    <mergeCell ref="A48:F48"/>
    <mergeCell ref="A49:F49"/>
    <mergeCell ref="A54:F54"/>
    <mergeCell ref="A55:F55"/>
    <mergeCell ref="A50:F50"/>
    <mergeCell ref="A51:F51"/>
    <mergeCell ref="A35:F35"/>
    <mergeCell ref="A36:F36"/>
    <mergeCell ref="A37:F37"/>
    <mergeCell ref="A39:F39"/>
    <mergeCell ref="A38:Z38"/>
    <mergeCell ref="A40:F40"/>
    <mergeCell ref="A44:F44"/>
    <mergeCell ref="A45:F45"/>
    <mergeCell ref="A26:F26"/>
    <mergeCell ref="A27:F27"/>
    <mergeCell ref="A24:F24"/>
    <mergeCell ref="A25:F25"/>
    <mergeCell ref="A29:F29"/>
    <mergeCell ref="A30:F30"/>
    <mergeCell ref="A43:F43"/>
    <mergeCell ref="A31:F31"/>
    <mergeCell ref="A32:F32"/>
    <mergeCell ref="A33:F33"/>
    <mergeCell ref="A41:F41"/>
    <mergeCell ref="A42:F42"/>
    <mergeCell ref="A34:Z34"/>
    <mergeCell ref="A3:H3"/>
    <mergeCell ref="A22:F22"/>
    <mergeCell ref="A16:F16"/>
    <mergeCell ref="A17:F17"/>
    <mergeCell ref="A23:F23"/>
    <mergeCell ref="A20:F20"/>
    <mergeCell ref="A21:F21"/>
    <mergeCell ref="A8:F8"/>
    <mergeCell ref="Q2:Y2"/>
    <mergeCell ref="Q3:Y3"/>
    <mergeCell ref="A9:Z9"/>
    <mergeCell ref="A5:Z5"/>
    <mergeCell ref="G6:G7"/>
    <mergeCell ref="I6:X6"/>
    <mergeCell ref="Y6:Y7"/>
    <mergeCell ref="A18:F18"/>
    <mergeCell ref="A19:F19"/>
    <mergeCell ref="H6:H7"/>
    <mergeCell ref="Z2:Z3"/>
    <mergeCell ref="P2:P3"/>
    <mergeCell ref="A2:H2"/>
    <mergeCell ref="A15:F15"/>
    <mergeCell ref="A11:F11"/>
    <mergeCell ref="A12:F12"/>
    <mergeCell ref="A13:F13"/>
    <mergeCell ref="A14:F14"/>
    <mergeCell ref="Z6:Z7"/>
    <mergeCell ref="A10:F10"/>
    <mergeCell ref="A6:F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Barbara Srdoč</cp:lastModifiedBy>
  <cp:lastPrinted>2021-09-27T13:29:50Z</cp:lastPrinted>
  <dcterms:created xsi:type="dcterms:W3CDTF">2008-10-17T11:51:54Z</dcterms:created>
  <dcterms:modified xsi:type="dcterms:W3CDTF">2022-06-03T13:01:20Z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